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497f9513c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2783d8fdd8c54210"/>
    <x:sheet xmlns:r="http://schemas.openxmlformats.org/officeDocument/2006/relationships" name="Carga_Reales" sheetId="2" r:id="Rc23383545a954f94"/>
    <x:sheet xmlns:r="http://schemas.openxmlformats.org/officeDocument/2006/relationships" name="Supuestos" sheetId="3" r:id="R9f6d6bd4b26048a4"/>
    <x:sheet xmlns:r="http://schemas.openxmlformats.org/officeDocument/2006/relationships" name="Recaudos_Historicos" sheetId="4" r:id="R55b3a043e2464563"/>
    <x:sheet xmlns:r="http://schemas.openxmlformats.org/officeDocument/2006/relationships" name="Sup_Credito" sheetId="5" r:id="R81244ed5f37b4813"/>
    <x:sheet xmlns:r="http://schemas.openxmlformats.org/officeDocument/2006/relationships" name="Cartera_Actual" sheetId="6" r:id="Rc4e116b287de482b"/>
    <x:sheet xmlns:r="http://schemas.openxmlformats.org/officeDocument/2006/relationships" name="Proy_Credito" sheetId="7" r:id="R774253e61c064d91"/>
    <x:sheet xmlns:r="http://schemas.openxmlformats.org/officeDocument/2006/relationships" name="Flujo_Cartera" sheetId="8" r:id="R7a62d2a75479469b"/>
    <x:sheet xmlns:r="http://schemas.openxmlformats.org/officeDocument/2006/relationships" name="Proyecciones" sheetId="9" r:id="Rd81762503e854fb6"/>
    <x:sheet xmlns:r="http://schemas.openxmlformats.org/officeDocument/2006/relationships" name="Resultado_Mensual" sheetId="10" r:id="R5683bf7a07474f2e"/>
    <x:sheet xmlns:r="http://schemas.openxmlformats.org/officeDocument/2006/relationships" name="Inventario_Cupos" sheetId="11" r:id="R618c4433d8b841c9"/>
    <x:sheet xmlns:r="http://schemas.openxmlformats.org/officeDocument/2006/relationships" name="Pendientes" sheetId="12" r:id="R7bde01e2dac149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-mmm-yyyy"/>
    <x:numFmt numFmtId="201" formatCode="#,##0.0"/>
    <x:numFmt numFmtId="202" formatCode="$#,##0;[Red]-$#,##0"/>
    <x:numFmt numFmtId="203" formatCode="0.0%"/>
    <x:numFmt numFmtId="204" formatCode="0.00x"/>
    <x:numFmt numFmtId="205" formatCode="mmm-yy"/>
  </x:numFmts>
  <x:fonts count="4">
    <x:font>
      <x:sz val="11"/>
      <x:name val="Carlito"/>
    </x:font>
    <x:font>
      <x:b/>
      <x:sz val="20"/>
      <x:color rgb="FFFFFFFF"/>
      <x:name val="Carlito"/>
    </x:font>
    <x:font>
      <x:b/>
      <x:sz val="11"/>
      <x:color rgb="FF17324B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B63"/>
      </x:patternFill>
    </x:fill>
    <x:fill>
      <x:patternFill patternType="solid">
        <x:fgColor rgb="FFDCEBF5"/>
      </x:patternFill>
    </x:fill>
    <x:fill>
      <x:patternFill patternType="solid">
        <x:fgColor rgb="FFFFF2CC"/>
      </x:patternFill>
    </x:fill>
  </x:fills>
  <x:borders count="3">
    <x:border/>
    <x:border>
      <x:bottom style="thin">
        <x:color rgb="FFCBD7E1"/>
      </x:bottom>
    </x:border>
    <x:border>
      <x:bottom style="thin">
        <x:color rgb="FF123B63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0" xfId="0" applyNumberFormat="1" applyFont="1" applyFill="1" applyBorder="1"/>
    <x:xf numFmtId="0" fontId="0" fillId="0" borderId="1" xfId="0" applyNumberFormat="1" applyFont="1" applyFill="1" applyBorder="1"/>
    <x:xf numFmtId="201" fontId="0" fillId="0" borderId="1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5" fontId="0" fillId="4" borderId="0" xfId="0" applyNumberFormat="1" applyFont="1" applyFill="1" applyBorder="1"/>
    <x:xf numFmtId="202" fontId="0" fillId="4" borderId="0" xfId="0" applyNumberFormat="1" applyFont="1" applyFill="1" applyBorder="1"/>
    <x:xf numFmtId="203" fontId="0" fillId="4" borderId="0" xfId="0" applyNumberFormat="1" applyFont="1" applyFill="1" applyBorder="1"/>
    <x:xf numFmtId="205" fontId="0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B5F11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f52c73eb84044" /><Relationship Type="http://schemas.openxmlformats.org/officeDocument/2006/relationships/theme" Target="/xl/theme/theme1.xml" Id="Rc7d5eb0adf554650" /><Relationship Type="http://schemas.openxmlformats.org/officeDocument/2006/relationships/sharedStrings" Target="/xl/sharedStrings.xml" Id="R0ac78b8eb6b94dd9" /><Relationship Type="http://schemas.openxmlformats.org/officeDocument/2006/relationships/worksheet" Target="/xl/worksheets/sheet1.xml" Id="R2783d8fdd8c54210" /><Relationship Type="http://schemas.openxmlformats.org/officeDocument/2006/relationships/worksheet" Target="/xl/worksheets/sheet2.xml" Id="Rc23383545a954f94" /><Relationship Type="http://schemas.openxmlformats.org/officeDocument/2006/relationships/worksheet" Target="/xl/worksheets/sheet3.xml" Id="R9f6d6bd4b26048a4" /><Relationship Type="http://schemas.openxmlformats.org/officeDocument/2006/relationships/worksheet" Target="/xl/worksheets/sheet4.xml" Id="R55b3a043e2464563" /><Relationship Type="http://schemas.openxmlformats.org/officeDocument/2006/relationships/worksheet" Target="/xl/worksheets/sheet5.xml" Id="R81244ed5f37b4813" /><Relationship Type="http://schemas.openxmlformats.org/officeDocument/2006/relationships/worksheet" Target="/xl/worksheets/sheet6.xml" Id="Rc4e116b287de482b" /><Relationship Type="http://schemas.openxmlformats.org/officeDocument/2006/relationships/worksheet" Target="/xl/worksheets/sheet7.xml" Id="R774253e61c064d91" /><Relationship Type="http://schemas.openxmlformats.org/officeDocument/2006/relationships/worksheet" Target="/xl/worksheets/sheet8.xml" Id="R7a62d2a75479469b" /><Relationship Type="http://schemas.openxmlformats.org/officeDocument/2006/relationships/worksheet" Target="/xl/worksheets/sheet9.xml" Id="Rd81762503e854fb6" /><Relationship Type="http://schemas.openxmlformats.org/officeDocument/2006/relationships/worksheet" Target="/xl/worksheets/sheet10.xml" Id="R5683bf7a07474f2e" /><Relationship Type="http://schemas.openxmlformats.org/officeDocument/2006/relationships/worksheet" Target="/xl/worksheets/sheet11.xml" Id="R618c4433d8b841c9" /><Relationship Type="http://schemas.openxmlformats.org/officeDocument/2006/relationships/worksheet" Target="/xl/worksheets/sheet12.xml" Id="R7bde01e2dac149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16" hidden="0" customWidth="1"/>
    <x:col min="4" max="4" width="20" hidden="0" customWidth="1"/>
    <x:col min="5" max="5" width="20" hidden="0" customWidth="1"/>
    <x:col min="6" max="6" width="18" hidden="0" customWidth="1"/>
    <x:col min="7" max="7" width="18" hidden="0" customWidth="1"/>
    <x:col min="8" max="8" width="20" hidden="0" customWidth="1"/>
  </x:cols>
  <x:sheetData>
    <x:row r="1" ht="28" customHeight="1">
      <x:c r="A1" s="4" t="str">
        <x:v>MODELO FINANCIERO MXT | REAL + PROYECTADO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6" t="str">
        <x:v>Fecha de corte real</x:v>
      </x:c>
      <x:c r="B4" s="9" t="n">
        <x:v>46265</x:v>
      </x:c>
    </x:row>
    <x:row r="5">
      <x:c r="A5" s="6" t="str">
        <x:v>Escenario activo</x:v>
      </x:c>
      <x:c r="B5" s="7" t="str">
        <x:v>Base</x:v>
      </x:c>
    </x:row>
    <x:row r="6">
      <x:c r="A6" s="6" t="str">
        <x:v>Última actualización</x:v>
      </x:c>
      <x:c r="B6" s="9" t="n">
        <x:v>46291.5438269213</x:v>
      </x:c>
    </x:row>
    <x:row r="7">
      <x:c r="A7" s="6" t="str">
        <x:v>Convención</x:v>
      </x:c>
      <x:c r="B7" s="8" t="str">
        <x:v>Azul: calculado | Amarillo: editable</x:v>
      </x:c>
    </x:row>
    <x:row r="9">
      <x:c r="A9" s="14" t="str">
        <x:v>Año</x:v>
      </x:c>
      <x:c r="B9" s="14" t="str">
        <x:v>Tipo</x:v>
      </x:c>
      <x:c r="C9" s="14" t="str">
        <x:v>Unidades</x:v>
      </x:c>
      <x:c r="D9" s="14" t="str">
        <x:v>Ingresos totales</x:v>
      </x:c>
      <x:c r="E9" s="14" t="str">
        <x:v>EBITDA</x:v>
      </x:c>
      <x:c r="F9" s="14" t="str">
        <x:v>Utilidad neta</x:v>
      </x:c>
      <x:c r="G9" s="14" t="str">
        <x:v>Inversión</x:v>
      </x:c>
      <x:c r="H9" s="14" t="str">
        <x:v>Caja operativa</x:v>
      </x:c>
    </x:row>
    <x:row r="10">
      <x:c r="A10" s="17" t="n">
        <x:v>2026</x:v>
      </x:c>
      <x:c r="B10" s="17" t="str">
        <x:v>REAL</x:v>
      </x:c>
      <x:c r="C10" s="15" t="n">
        <x:f>SUMIFS(Resultado_Mensual!$D:$D,Resultado_Mensual!$A:$A,"&gt;="&amp;DATE($A10,1,1),Resultado_Mensual!$A:$A,"&lt;="&amp;DATE($A10,12,31),Resultado_Mensual!$B:$B,$B10)</x:f>
        <x:v>0</x:v>
      </x:c>
      <x:c r="D10" s="16" t="n">
        <x:f>SUMIFS(Resultado_Mensual!$N:$N,Resultado_Mensual!$A:$A,"&gt;="&amp;DATE($A10,1,1),Resultado_Mensual!$A:$A,"&lt;="&amp;DATE($A10,12,31),Resultado_Mensual!$B:$B,$B10)</x:f>
        <x:v>0</x:v>
      </x:c>
      <x:c r="E10" s="16" t="n">
        <x:f>SUMIFS(Resultado_Mensual!$O:$O,Resultado_Mensual!$A:$A,"&gt;="&amp;DATE($A10,1,1),Resultado_Mensual!$A:$A,"&lt;="&amp;DATE($A10,12,31),Resultado_Mensual!$B:$B,$B10)</x:f>
        <x:v>0</x:v>
      </x:c>
      <x:c r="F10" s="16" t="n">
        <x:f>SUMIFS(Resultado_Mensual!$P:$P,Resultado_Mensual!$A:$A,"&gt;="&amp;DATE($A10,1,1),Resultado_Mensual!$A:$A,"&lt;="&amp;DATE($A10,12,31),Resultado_Mensual!$B:$B,$B10)</x:f>
        <x:v>0</x:v>
      </x:c>
      <x:c r="G10" s="16" t="n">
        <x:f>SUMIFS(Resultado_Mensual!$Q:$Q,Resultado_Mensual!$A:$A,"&gt;="&amp;DATE($A10,1,1),Resultado_Mensual!$A:$A,"&lt;="&amp;DATE($A10,12,31),Resultado_Mensual!$B:$B,$B10)</x:f>
        <x:v>0</x:v>
      </x:c>
      <x:c r="H10" s="16" t="n">
        <x:f>SUMIFS(Resultado_Mensual!$R:$R,Resultado_Mensual!$A:$A,"&gt;="&amp;DATE($A10,1,1),Resultado_Mensual!$A:$A,"&lt;="&amp;DATE($A10,12,31),Resultado_Mensual!$B:$B,$B10)</x:f>
        <x:v>0</x:v>
      </x:c>
    </x:row>
    <x:row r="11">
      <x:c r="A11" s="17" t="n">
        <x:v>2026</x:v>
      </x:c>
      <x:c r="B11" s="17" t="str">
        <x:v>PROYECTADO</x:v>
      </x:c>
      <x:c r="C11" s="15" t="n">
        <x:f>SUMIFS(Resultado_Mensual!$D:$D,Resultado_Mensual!$A:$A,"&gt;="&amp;DATE($A11,1,1),Resultado_Mensual!$A:$A,"&lt;="&amp;DATE($A11,12,31),Resultado_Mensual!$B:$B,$B11)</x:f>
        <x:v>1563.3333333333321</x:v>
      </x:c>
      <x:c r="D11" s="16" t="n">
        <x:f>SUMIFS(Resultado_Mensual!$N:$N,Resultado_Mensual!$A:$A,"&gt;="&amp;DATE($A11,1,1),Resultado_Mensual!$A:$A,"&lt;="&amp;DATE($A11,12,31),Resultado_Mensual!$B:$B,$B11)</x:f>
        <x:v>11969066396.13594</x:v>
      </x:c>
      <x:c r="E11" s="16" t="n">
        <x:f>SUMIFS(Resultado_Mensual!$O:$O,Resultado_Mensual!$A:$A,"&gt;="&amp;DATE($A11,1,1),Resultado_Mensual!$A:$A,"&lt;="&amp;DATE($A11,12,31),Resultado_Mensual!$B:$B,$B11)</x:f>
        <x:v>815878526.6831949</x:v>
      </x:c>
      <x:c r="F11" s="16" t="n">
        <x:f>SUMIFS(Resultado_Mensual!$P:$P,Resultado_Mensual!$A:$A,"&gt;="&amp;DATE($A11,1,1),Resultado_Mensual!$A:$A,"&lt;="&amp;DATE($A11,12,31),Resultado_Mensual!$B:$B,$B11)</x:f>
        <x:v>504321042.3440733</x:v>
      </x:c>
      <x:c r="G11" s="16" t="n">
        <x:f>SUMIFS(Resultado_Mensual!$Q:$Q,Resultado_Mensual!$A:$A,"&gt;="&amp;DATE($A11,1,1),Resultado_Mensual!$A:$A,"&lt;="&amp;DATE($A11,12,31),Resultado_Mensual!$B:$B,$B11)</x:f>
        <x:v>0</x:v>
      </x:c>
      <x:c r="H11" s="16" t="n">
        <x:f>SUMIFS(Resultado_Mensual!$R:$R,Resultado_Mensual!$A:$A,"&gt;="&amp;DATE($A11,1,1),Resultado_Mensual!$A:$A,"&lt;="&amp;DATE($A11,12,31),Resultado_Mensual!$B:$B,$B11)</x:f>
        <x:v>815878526.6831949</x:v>
      </x:c>
    </x:row>
    <x:row r="12">
      <x:c r="A12" s="17" t="n">
        <x:v>2027</x:v>
      </x:c>
      <x:c r="B12" s="17" t="str">
        <x:v>REAL</x:v>
      </x:c>
      <x:c r="C12" s="15" t="n">
        <x:f>SUMIFS(Resultado_Mensual!$D:$D,Resultado_Mensual!$A:$A,"&gt;="&amp;DATE($A12,1,1),Resultado_Mensual!$A:$A,"&lt;="&amp;DATE($A12,12,31),Resultado_Mensual!$B:$B,$B12)</x:f>
        <x:v>0</x:v>
      </x:c>
      <x:c r="D12" s="16" t="n">
        <x:f>SUMIFS(Resultado_Mensual!$N:$N,Resultado_Mensual!$A:$A,"&gt;="&amp;DATE($A12,1,1),Resultado_Mensual!$A:$A,"&lt;="&amp;DATE($A12,12,31),Resultado_Mensual!$B:$B,$B12)</x:f>
        <x:v>0</x:v>
      </x:c>
      <x:c r="E12" s="16" t="n">
        <x:f>SUMIFS(Resultado_Mensual!$O:$O,Resultado_Mensual!$A:$A,"&gt;="&amp;DATE($A12,1,1),Resultado_Mensual!$A:$A,"&lt;="&amp;DATE($A12,12,31),Resultado_Mensual!$B:$B,$B12)</x:f>
        <x:v>0</x:v>
      </x:c>
      <x:c r="F12" s="16" t="n">
        <x:f>SUMIFS(Resultado_Mensual!$P:$P,Resultado_Mensual!$A:$A,"&gt;="&amp;DATE($A12,1,1),Resultado_Mensual!$A:$A,"&lt;="&amp;DATE($A12,12,31),Resultado_Mensual!$B:$B,$B12)</x:f>
        <x:v>0</x:v>
      </x:c>
      <x:c r="G12" s="16" t="n">
        <x:f>SUMIFS(Resultado_Mensual!$Q:$Q,Resultado_Mensual!$A:$A,"&gt;="&amp;DATE($A12,1,1),Resultado_Mensual!$A:$A,"&lt;="&amp;DATE($A12,12,31),Resultado_Mensual!$B:$B,$B12)</x:f>
        <x:v>0</x:v>
      </x:c>
      <x:c r="H12" s="16" t="n">
        <x:f>SUMIFS(Resultado_Mensual!$R:$R,Resultado_Mensual!$A:$A,"&gt;="&amp;DATE($A12,1,1),Resultado_Mensual!$A:$A,"&lt;="&amp;DATE($A12,12,31),Resultado_Mensual!$B:$B,$B12)</x:f>
        <x:v>0</x:v>
      </x:c>
    </x:row>
    <x:row r="13">
      <x:c r="A13" s="17" t="n">
        <x:v>2027</x:v>
      </x:c>
      <x:c r="B13" s="17" t="str">
        <x:v>PROYECTADO</x:v>
      </x:c>
      <x:c r="C13" s="15" t="n">
        <x:f>SUMIFS(Resultado_Mensual!$D:$D,Resultado_Mensual!$A:$A,"&gt;="&amp;DATE($A13,1,1),Resultado_Mensual!$A:$A,"&lt;="&amp;DATE($A13,12,31),Resultado_Mensual!$B:$B,$B13)</x:f>
        <x:v>5456.803278688526</x:v>
      </x:c>
      <x:c r="D13" s="16" t="n">
        <x:f>SUMIFS(Resultado_Mensual!$N:$N,Resultado_Mensual!$A:$A,"&gt;="&amp;DATE($A13,1,1),Resultado_Mensual!$A:$A,"&lt;="&amp;DATE($A13,12,31),Resultado_Mensual!$B:$B,$B13)</x:f>
        <x:v>42192813804.39011</x:v>
      </x:c>
      <x:c r="E13" s="16" t="n">
        <x:f>SUMIFS(Resultado_Mensual!$O:$O,Resultado_Mensual!$A:$A,"&gt;="&amp;DATE($A13,1,1),Resultado_Mensual!$A:$A,"&lt;="&amp;DATE($A13,12,31),Resultado_Mensual!$B:$B,$B13)</x:f>
        <x:v>3844680316.60715</x:v>
      </x:c>
      <x:c r="F13" s="16" t="n">
        <x:f>SUMIFS(Resultado_Mensual!$P:$P,Resultado_Mensual!$A:$A,"&gt;="&amp;DATE($A13,1,1),Resultado_Mensual!$A:$A,"&lt;="&amp;DATE($A13,12,31),Resultado_Mensual!$B:$B,$B13)</x:f>
        <x:v>2421042205.7946463</x:v>
      </x:c>
      <x:c r="G13" s="16" t="n">
        <x:f>SUMIFS(Resultado_Mensual!$Q:$Q,Resultado_Mensual!$A:$A,"&gt;="&amp;DATE($A13,1,1),Resultado_Mensual!$A:$A,"&lt;="&amp;DATE($A13,12,31),Resultado_Mensual!$B:$B,$B13)</x:f>
        <x:v>0</x:v>
      </x:c>
      <x:c r="H13" s="16" t="n">
        <x:f>SUMIFS(Resultado_Mensual!$R:$R,Resultado_Mensual!$A:$A,"&gt;="&amp;DATE($A13,1,1),Resultado_Mensual!$A:$A,"&lt;="&amp;DATE($A13,12,31),Resultado_Mensual!$B:$B,$B13)</x:f>
        <x:v>3844680316.60715</x:v>
      </x:c>
    </x:row>
    <x:row r="14">
      <x:c r="A14" s="17" t="n">
        <x:v>2028</x:v>
      </x:c>
      <x:c r="B14" s="17" t="str">
        <x:v>REAL</x:v>
      </x:c>
      <x:c r="C14" s="15" t="n">
        <x:f>SUMIFS(Resultado_Mensual!$D:$D,Resultado_Mensual!$A:$A,"&gt;="&amp;DATE($A14,1,1),Resultado_Mensual!$A:$A,"&lt;="&amp;DATE($A14,12,31),Resultado_Mensual!$B:$B,$B14)</x:f>
        <x:v>0</x:v>
      </x:c>
      <x:c r="D14" s="16" t="n">
        <x:f>SUMIFS(Resultado_Mensual!$N:$N,Resultado_Mensual!$A:$A,"&gt;="&amp;DATE($A14,1,1),Resultado_Mensual!$A:$A,"&lt;="&amp;DATE($A14,12,31),Resultado_Mensual!$B:$B,$B14)</x:f>
        <x:v>0</x:v>
      </x:c>
      <x:c r="E14" s="16" t="n">
        <x:f>SUMIFS(Resultado_Mensual!$O:$O,Resultado_Mensual!$A:$A,"&gt;="&amp;DATE($A14,1,1),Resultado_Mensual!$A:$A,"&lt;="&amp;DATE($A14,12,31),Resultado_Mensual!$B:$B,$B14)</x:f>
        <x:v>0</x:v>
      </x:c>
      <x:c r="F14" s="16" t="n">
        <x:f>SUMIFS(Resultado_Mensual!$P:$P,Resultado_Mensual!$A:$A,"&gt;="&amp;DATE($A14,1,1),Resultado_Mensual!$A:$A,"&lt;="&amp;DATE($A14,12,31),Resultado_Mensual!$B:$B,$B14)</x:f>
        <x:v>0</x:v>
      </x:c>
      <x:c r="G14" s="16" t="n">
        <x:f>SUMIFS(Resultado_Mensual!$Q:$Q,Resultado_Mensual!$A:$A,"&gt;="&amp;DATE($A14,1,1),Resultado_Mensual!$A:$A,"&lt;="&amp;DATE($A14,12,31),Resultado_Mensual!$B:$B,$B14)</x:f>
        <x:v>0</x:v>
      </x:c>
      <x:c r="H14" s="16" t="n">
        <x:f>SUMIFS(Resultado_Mensual!$R:$R,Resultado_Mensual!$A:$A,"&gt;="&amp;DATE($A14,1,1),Resultado_Mensual!$A:$A,"&lt;="&amp;DATE($A14,12,31),Resultado_Mensual!$B:$B,$B14)</x:f>
        <x:v>0</x:v>
      </x:c>
    </x:row>
    <x:row r="15">
      <x:c r="A15" s="18" t="n">
        <x:v>2028</x:v>
      </x:c>
      <x:c r="B15" s="18" t="str">
        <x:v>PROYECTADO</x:v>
      </x:c>
      <x:c r="C15" s="19" t="n">
        <x:f>SUMIFS(Resultado_Mensual!$D:$D,Resultado_Mensual!$A:$A,"&gt;="&amp;DATE($A15,1,1),Resultado_Mensual!$A:$A,"&lt;="&amp;DATE($A15,12,31),Resultado_Mensual!$B:$B,$B15)</x:f>
        <x:v>6000</x:v>
      </x:c>
      <x:c r="D15" s="20" t="n">
        <x:f>SUMIFS(Resultado_Mensual!$N:$N,Resultado_Mensual!$A:$A,"&gt;="&amp;DATE($A15,1,1),Resultado_Mensual!$A:$A,"&lt;="&amp;DATE($A15,12,31),Resultado_Mensual!$B:$B,$B15)</x:f>
        <x:v>46879147797.50222</x:v>
      </x:c>
      <x:c r="E15" s="20" t="n">
        <x:f>SUMIFS(Resultado_Mensual!$O:$O,Resultado_Mensual!$A:$A,"&gt;="&amp;DATE($A15,1,1),Resultado_Mensual!$A:$A,"&lt;="&amp;DATE($A15,12,31),Resultado_Mensual!$B:$B,$B15)</x:f>
        <x:v>5027640822.456021</x:v>
      </x:c>
      <x:c r="F15" s="20" t="n">
        <x:f>SUMIFS(Resultado_Mensual!$P:$P,Resultado_Mensual!$A:$A,"&gt;="&amp;DATE($A15,1,1),Resultado_Mensual!$A:$A,"&lt;="&amp;DATE($A15,12,31),Resultado_Mensual!$B:$B,$B15)</x:f>
        <x:v>3189966534.596411</x:v>
      </x:c>
      <x:c r="G15" s="20" t="n">
        <x:f>SUMIFS(Resultado_Mensual!$Q:$Q,Resultado_Mensual!$A:$A,"&gt;="&amp;DATE($A15,1,1),Resultado_Mensual!$A:$A,"&lt;="&amp;DATE($A15,12,31),Resultado_Mensual!$B:$B,$B15)</x:f>
        <x:v>0</x:v>
      </x:c>
      <x:c r="H15" s="20" t="n">
        <x:f>SUMIFS(Resultado_Mensual!$R:$R,Resultado_Mensual!$A:$A,"&gt;="&amp;DATE($A15,1,1),Resultado_Mensual!$A:$A,"&lt;="&amp;DATE($A15,12,31),Resultado_Mensual!$B:$B,$B15)</x:f>
        <x:v>5027640822.456021</x:v>
      </x:c>
    </x:row>
    <x:row r="18">
      <x:c r="A18" s="14" t="str">
        <x:v>Indicador</x:v>
      </x:c>
      <x:c r="B18" s="14" t="str">
        <x:v>2026</x:v>
      </x:c>
      <x:c r="C18" s="14" t="str">
        <x:v>2027</x:v>
      </x:c>
      <x:c r="D18" s="14" t="str">
        <x:v>2028</x:v>
      </x:c>
      <x:c r="E18" s="14" t="str">
        <x:v>Lectura</x:v>
      </x:c>
      <x:c r="F18" s="14" t="str">
        <x:v>Estado</x:v>
      </x:c>
    </x:row>
    <x:row r="19">
      <x:c r="A19" t="str">
        <x:v>Margen bruto</x:v>
      </x:c>
      <x:c r="B19" s="21" t="n">
        <x:f>SUMIFS(Resultado_Mensual!$S:$S,Resultado_Mensual!$A:$A,"&gt;="&amp;DATE(2026,1,1),Resultado_Mensual!$A:$A,"&lt;="&amp;DATE(2026,12,31))/MAX(1,SUMIFS(Resultado_Mensual!$N:$N,Resultado_Mensual!$A:$A,"&gt;="&amp;DATE(2026,1,1),Resultado_Mensual!$A:$A,"&lt;="&amp;DATE(2026,12,31)))</x:f>
        <x:v>0.16108999043709113</x:v>
      </x:c>
      <x:c r="C19" s="21" t="n">
        <x:f>SUMIFS(Resultado_Mensual!$S:$S,Resultado_Mensual!$A:$A,"&gt;="&amp;DATE(2027,1,1),Resultado_Mensual!$A:$A,"&lt;="&amp;DATE(2027,12,31))/MAX(1,SUMIFS(Resultado_Mensual!$N:$N,Resultado_Mensual!$A:$A,"&gt;="&amp;DATE(2027,1,1),Resultado_Mensual!$A:$A,"&lt;="&amp;DATE(2027,12,31)))</x:f>
        <x:v>0.1595060103134497</x:v>
      </x:c>
      <x:c r="D19" s="21" t="n">
        <x:f>SUMIFS(Resultado_Mensual!$S:$S,Resultado_Mensual!$A:$A,"&gt;="&amp;DATE(2028,1,1),Resultado_Mensual!$A:$A,"&lt;="&amp;DATE(2028,12,31))/MAX(1,SUMIFS(Resultado_Mensual!$N:$N,Resultado_Mensual!$A:$A,"&gt;="&amp;DATE(2028,1,1),Resultado_Mensual!$A:$A,"&lt;="&amp;DATE(2028,12,31)))</x:f>
        <x:v>0.1578515265076913</x:v>
      </x:c>
      <x:c r="E19" t="str">
        <x:v>Rentabilidad de motos</x:v>
      </x:c>
      <x:c r="F19" t="str">
        <x:v>Calculado</x:v>
      </x:c>
    </x:row>
    <x:row r="20">
      <x:c r="A20" t="str">
        <x:v>Margen EBITDA</x:v>
      </x:c>
      <x:c r="B20" s="21" t="n">
        <x:f>SUMIFS(Resultado_Mensual!$O:$O,Resultado_Mensual!$A:$A,"&gt;="&amp;DATE(2026,1,1),Resultado_Mensual!$A:$A,"&lt;="&amp;DATE(2026,12,31))/MAX(1,SUMIFS(Resultado_Mensual!$N:$N,Resultado_Mensual!$A:$A,"&gt;="&amp;DATE(2026,1,1),Resultado_Mensual!$A:$A,"&lt;="&amp;DATE(2026,12,31)))</x:f>
        <x:v>0.06816559451509023</x:v>
      </x:c>
      <x:c r="C20" s="21" t="n">
        <x:f>SUMIFS(Resultado_Mensual!$O:$O,Resultado_Mensual!$A:$A,"&gt;="&amp;DATE(2027,1,1),Resultado_Mensual!$A:$A,"&lt;="&amp;DATE(2027,12,31))/MAX(1,SUMIFS(Resultado_Mensual!$N:$N,Resultado_Mensual!$A:$A,"&gt;="&amp;DATE(2027,1,1),Resultado_Mensual!$A:$A,"&lt;="&amp;DATE(2027,12,31)))</x:f>
        <x:v>0.09112168566029877</x:v>
      </x:c>
      <x:c r="D20" s="21" t="n">
        <x:f>SUMIFS(Resultado_Mensual!$O:$O,Resultado_Mensual!$A:$A,"&gt;="&amp;DATE(2028,1,1),Resultado_Mensual!$A:$A,"&lt;="&amp;DATE(2028,12,31))/MAX(1,SUMIFS(Resultado_Mensual!$N:$N,Resultado_Mensual!$A:$A,"&gt;="&amp;DATE(2028,1,1),Resultado_Mensual!$A:$A,"&lt;="&amp;DATE(2028,12,31)))</x:f>
        <x:v>0.10724684766398207</x:v>
      </x:c>
      <x:c r="E20" t="str">
        <x:v>Resultado operativo</x:v>
      </x:c>
      <x:c r="F20" t="str">
        <x:v>Calculado</x:v>
      </x:c>
    </x:row>
    <x:row r="21">
      <x:c r="A21" t="str">
        <x:v>Margen neto</x:v>
      </x:c>
      <x:c r="B21" s="21" t="n">
        <x:f>SUMIFS(Resultado_Mensual!$P:$P,Resultado_Mensual!$A:$A,"&gt;="&amp;DATE(2026,1,1),Resultado_Mensual!$A:$A,"&lt;="&amp;DATE(2026,12,31))/MAX(1,SUMIFS(Resultado_Mensual!$N:$N,Resultado_Mensual!$A:$A,"&gt;="&amp;DATE(2026,1,1),Resultado_Mensual!$A:$A,"&lt;="&amp;DATE(2026,12,31)))</x:f>
        <x:v>0.042135370099282504</x:v>
      </x:c>
      <x:c r="C21" s="21" t="n">
        <x:f>SUMIFS(Resultado_Mensual!$P:$P,Resultado_Mensual!$A:$A,"&gt;="&amp;DATE(2027,1,1),Resultado_Mensual!$A:$A,"&lt;="&amp;DATE(2027,12,31))/MAX(1,SUMIFS(Resultado_Mensual!$N:$N,Resultado_Mensual!$A:$A,"&gt;="&amp;DATE(2027,1,1),Resultado_Mensual!$A:$A,"&lt;="&amp;DATE(2027,12,31)))</x:f>
        <x:v>0.057380439641186956</x:v>
      </x:c>
      <x:c r="D21" s="21" t="n">
        <x:f>SUMIFS(Resultado_Mensual!$P:$P,Resultado_Mensual!$A:$A,"&gt;="&amp;DATE(2028,1,1),Resultado_Mensual!$A:$A,"&lt;="&amp;DATE(2028,12,31))/MAX(1,SUMIFS(Resultado_Mensual!$N:$N,Resultado_Mensual!$A:$A,"&gt;="&amp;DATE(2028,1,1),Resultado_Mensual!$A:$A,"&lt;="&amp;DATE(2028,12,31)))</x:f>
        <x:v>0.06804659820984153</x:v>
      </x:c>
      <x:c r="E21" t="str">
        <x:v>Resultado final</x:v>
      </x:c>
      <x:c r="F21" t="str">
        <x:v>Calculado</x:v>
      </x:c>
    </x:row>
    <x:row r="22">
      <x:c r="A22" t="str">
        <x:v>Gastos / ingresos</x:v>
      </x:c>
      <x:c r="B22" s="21" t="n">
        <x:f>SUMIFS(Resultado_Mensual!$T:$T,Resultado_Mensual!$A:$A,"&gt;="&amp;DATE(2026,1,1),Resultado_Mensual!$A:$A,"&lt;="&amp;DATE(2026,12,31))/MAX(1,SUMIFS(Resultado_Mensual!$N:$N,Resultado_Mensual!$A:$A,"&gt;="&amp;DATE(2026,1,1),Resultado_Mensual!$A:$A,"&lt;="&amp;DATE(2026,12,31)))</x:f>
        <x:v>0.11868239184852347</x:v>
      </x:c>
      <x:c r="C22" s="21" t="n">
        <x:f>SUMIFS(Resultado_Mensual!$T:$T,Resultado_Mensual!$A:$A,"&gt;="&amp;DATE(2027,1,1),Resultado_Mensual!$A:$A,"&lt;="&amp;DATE(2027,12,31))/MAX(1,SUMIFS(Resultado_Mensual!$N:$N,Resultado_Mensual!$A:$A,"&gt;="&amp;DATE(2027,1,1),Resultado_Mensual!$A:$A,"&lt;="&amp;DATE(2027,12,31)))</x:f>
        <x:v>0.10372193484299566</x:v>
      </x:c>
      <x:c r="D22" s="21" t="n">
        <x:f>SUMIFS(Resultado_Mensual!$T:$T,Resultado_Mensual!$A:$A,"&gt;="&amp;DATE(2028,1,1),Resultado_Mensual!$A:$A,"&lt;="&amp;DATE(2028,12,31))/MAX(1,SUMIFS(Resultado_Mensual!$N:$N,Resultado_Mensual!$A:$A,"&gt;="&amp;DATE(2028,1,1),Resultado_Mensual!$A:$A,"&lt;="&amp;DATE(2028,12,31)))</x:f>
        <x:v>0.09594829632336568</x:v>
      </x:c>
      <x:c r="E22" t="str">
        <x:v>Eficiencia</x:v>
      </x:c>
      <x:c r="F22" t="str">
        <x:v>Calculado</x:v>
      </x:c>
    </x:row>
    <x:row r="23">
      <x:c r="A23" t="str">
        <x:v>Ingreso por unidad</x:v>
      </x:c>
      <x:c r="B23" s="16" t="n">
        <x:f>SUMIFS(Resultado_Mensual!$N:$N,Resultado_Mensual!$A:$A,"&gt;="&amp;DATE(2026,1,1),Resultado_Mensual!$A:$A,"&lt;="&amp;DATE(2026,12,31))/MAX(1,SUMIFS(Resultado_Mensual!$D:$D,Resultado_Mensual!$A:$A,"&gt;="&amp;DATE(2026,1,1),Resultado_Mensual!$A:$A,"&lt;="&amp;DATE(2026,12,31)))</x:f>
        <x:v>7656119.229937708</x:v>
      </x:c>
      <x:c r="C23" s="16" t="n">
        <x:f>SUMIFS(Resultado_Mensual!$N:$N,Resultado_Mensual!$A:$A,"&gt;="&amp;DATE(2027,1,1),Resultado_Mensual!$A:$A,"&lt;="&amp;DATE(2027,12,31))/MAX(1,SUMIFS(Resultado_Mensual!$D:$D,Resultado_Mensual!$A:$A,"&gt;="&amp;DATE(2027,1,1),Resultado_Mensual!$A:$A,"&lt;="&amp;DATE(2027,12,31)))</x:f>
        <x:v>7732148.594979334</x:v>
      </x:c>
      <x:c r="D23" s="16" t="n">
        <x:f>SUMIFS(Resultado_Mensual!$N:$N,Resultado_Mensual!$A:$A,"&gt;="&amp;DATE(2028,1,1),Resultado_Mensual!$A:$A,"&lt;="&amp;DATE(2028,12,31))/MAX(1,SUMIFS(Resultado_Mensual!$D:$D,Resultado_Mensual!$A:$A,"&gt;="&amp;DATE(2028,1,1),Resultado_Mensual!$A:$A,"&lt;="&amp;DATE(2028,12,31)))</x:f>
        <x:v>7813191.299583703</x:v>
      </x:c>
      <x:c r="E23" t="str">
        <x:v>Productividad comercial</x:v>
      </x:c>
      <x:c r="F23" t="str">
        <x:v>Calculado</x:v>
      </x:c>
    </x:row>
    <x:row r="24">
      <x:c r="A24" t="str">
        <x:v>Cobertura punto equilibrio</x:v>
      </x:c>
      <x:c r="B24" s="22" t="n">
        <x:f>SUMIFS(Resultado_Mensual!$D:$D,Resultado_Mensual!$A:$A,"&gt;="&amp;DATE(2026,1,1),Resultado_Mensual!$A:$A,"&lt;="&amp;DATE(2026,12,31))/MAX(1,SUMIFS(Resultado_Mensual!$U:$U,Resultado_Mensual!$A:$A,"&gt;="&amp;DATE(2026,1,1),Resultado_Mensual!$A:$A,"&lt;="&amp;DATE(2026,12,31)))</x:f>
        <x:v>1.4838588153562993</x:v>
      </x:c>
      <x:c r="C24" s="22" t="n">
        <x:f>SUMIFS(Resultado_Mensual!$D:$D,Resultado_Mensual!$A:$A,"&gt;="&amp;DATE(2027,1,1),Resultado_Mensual!$A:$A,"&lt;="&amp;DATE(2027,12,31))/MAX(1,SUMIFS(Resultado_Mensual!$U:$U,Resultado_Mensual!$A:$A,"&gt;="&amp;DATE(2027,1,1),Resultado_Mensual!$A:$A,"&lt;="&amp;DATE(2027,12,31)))</x:f>
        <x:v>1.6819079448134624</x:v>
      </x:c>
      <x:c r="D24" s="22" t="n">
        <x:f>SUMIFS(Resultado_Mensual!$D:$D,Resultado_Mensual!$A:$A,"&gt;="&amp;DATE(2028,1,1),Resultado_Mensual!$A:$A,"&lt;="&amp;DATE(2028,12,31))/MAX(1,SUMIFS(Resultado_Mensual!$U:$U,Resultado_Mensual!$A:$A,"&gt;="&amp;DATE(2028,1,1),Resultado_Mensual!$A:$A,"&lt;="&amp;DATE(2028,12,31)))</x:f>
        <x:v>1.8000875815994177</x:v>
      </x:c>
      <x:c r="E24" t="str">
        <x:v>Seguridad operativa</x:v>
      </x:c>
      <x:c r="F24" t="str">
        <x:v>Calculado</x:v>
      </x:c>
    </x:row>
    <x:row r="27">
      <x:c r="A27" s="14" t="str">
        <x:v>Financiación</x:v>
      </x:c>
      <x:c r="B27" s="14" t="str">
        <x:v>Moto para Todos</x:v>
      </x:c>
      <x:c r="C27" s="14" t="str">
        <x:v>Verificarte</x:v>
      </x:c>
      <x:c r="D27" s="14" t="str">
        <x:v>Total / indicador</x:v>
      </x:c>
      <x:c r="E27" s="14" t="str">
        <x:v>Estado</x:v>
      </x:c>
      <x:c r="F27" s="14" t="str">
        <x:v>Lectura</x:v>
      </x:c>
    </x:row>
    <x:row r="28">
      <x:c r="A28" t="str">
        <x:v>Recaudo histórico controlado</x:v>
      </x:c>
      <x:c r="B28" s="16" t="n">
        <x:f>SUMIFS(Recaudos_Historicos!$E$5:$E$28,Recaudos_Historicos!$B$5:$B$28,B$27)</x:f>
        <x:v>571472340</x:v>
      </x:c>
      <x:c r="C28" s="16" t="n">
        <x:f>SUMIFS(Recaudos_Historicos!$E$5:$E$28,Recaudos_Historicos!$B$5:$B$28,C$27)</x:f>
        <x:v>450736417</x:v>
      </x:c>
      <x:c r="D28" s="16" t="n">
        <x:f>SUM(B28:C28)</x:f>
        <x:v>1022208757</x:v>
      </x:c>
      <x:c r="E28" t="str">
        <x:v>CARGADO</x:v>
      </x:c>
      <x:c r="F28" t="str">
        <x:v>Base histórica conciliada; julio-agosto parciales</x:v>
      </x:c>
    </x:row>
    <x:row r="29">
      <x:c r="A29" t="str">
        <x:v>Colocaciones proyectadas</x:v>
      </x:c>
      <x:c r="B29" s="16" t="n">
        <x:f>SUMIFS(Flujo_Cartera!$E$5:$E$60,Flujo_Cartera!$B$5:$B$60,B$27)</x:f>
        <x:v>0</x:v>
      </x:c>
      <x:c r="C29" s="16" t="n">
        <x:f>SUMIFS(Flujo_Cartera!$E$5:$E$60,Flujo_Cartera!$B$5:$B$60,C$27)</x:f>
        <x:v>0</x:v>
      </x:c>
      <x:c r="D29" s="16" t="n">
        <x:f>SUM(B29:C29)</x:f>
        <x:v>0</x:v>
      </x:c>
      <x:c r="E29" t="str">
        <x:v>CALCULADO</x:v>
      </x:c>
      <x:c r="F29" t="str">
        <x:v>Limitado por capital disponible</x:v>
      </x:c>
    </x:row>
    <x:row r="30">
      <x:c r="A30" t="str">
        <x:v>Saldo de cartera proyectado</x:v>
      </x:c>
      <x:c r="B30" s="16" t="n">
        <x:f>SUMIFS(Flujo_Cartera!$I$5:$I$60,Flujo_Cartera!$B$5:$B$60,B$27,Flujo_Cartera!$A$5:$A$60,DATE(2028,12,1))</x:f>
        <x:v>0</x:v>
      </x:c>
      <x:c r="C30" s="16" t="n">
        <x:f>SUMIFS(Flujo_Cartera!$I$5:$I$60,Flujo_Cartera!$B$5:$B$60,C$27,Flujo_Cartera!$A$5:$A$60,DATE(2028,12,1))</x:f>
        <x:v>0</x:v>
      </x:c>
      <x:c r="D30" s="16" t="n">
        <x:f>SUM(B30:C30)</x:f>
        <x:v>0</x:v>
      </x:c>
      <x:c r="E30" t="str">
        <x:v>PENDIENTE</x:v>
      </x:c>
      <x:c r="F30" t="str">
        <x:v>Requiere saldo vigente inicial</x:v>
      </x:c>
    </x:row>
    <x:row r="31">
      <x:c r="A31" t="str">
        <x:v>Ingresos por intereses proyectados</x:v>
      </x:c>
      <x:c r="B31" s="16" t="n">
        <x:f>SUMIFS(Flujo_Cartera!$G$5:$G$60,Flujo_Cartera!$B$5:$B$60,B$27)</x:f>
        <x:v>0</x:v>
      </x:c>
      <x:c r="C31" s="16" t="n">
        <x:f>SUMIFS(Flujo_Cartera!$G$5:$G$60,Flujo_Cartera!$B$5:$B$60,C$27)</x:f>
        <x:v>0</x:v>
      </x:c>
      <x:c r="D31" s="16" t="n">
        <x:f>SUM(B31:C31)</x:f>
        <x:v>0</x:v>
      </x:c>
      <x:c r="E31" t="str">
        <x:v>CALCULADO</x:v>
      </x:c>
      <x:c r="F31" t="str">
        <x:v>Tasa mensual editable</x:v>
      </x:c>
    </x:row>
    <x:row r="32">
      <x:c r="A32" t="str">
        <x:v>Capital disponible final</x:v>
      </x:c>
      <x:c r="B32" s="16" t="n">
        <x:f>SUMIFS(Flujo_Cartera!$J$5:$J$60,Flujo_Cartera!$B$5:$B$60,B$27,Flujo_Cartera!$A$5:$A$60,DATE(2028,12,1))</x:f>
        <x:v>0</x:v>
      </x:c>
      <x:c r="C32" s="16" t="n">
        <x:f>SUMIFS(Flujo_Cartera!$J$5:$J$60,Flujo_Cartera!$B$5:$B$60,C$27,Flujo_Cartera!$A$5:$A$60,DATE(2028,12,1))</x:f>
        <x:v>0</x:v>
      </x:c>
      <x:c r="D32" s="16" t="n">
        <x:f>SUM(B32:C32)</x:f>
        <x:v>0</x:v>
      </x:c>
      <x:c r="E32" t="str">
        <x:v>PENDIENTE</x:v>
      </x:c>
      <x:c r="F32" t="str">
        <x:v>Requiere capital inicial por financiador</x:v>
      </x:c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1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20" hidden="0" customWidth="1"/>
    <x:col min="11" max="11" width="20" hidden="0" customWidth="1"/>
    <x:col min="12" max="12" width="20" hidden="0" customWidth="1"/>
    <x:col min="13" max="13" width="16" hidden="0" customWidth="1"/>
    <x:col min="14" max="14" width="18" hidden="0" customWidth="1"/>
    <x:col min="15" max="15" width="16" hidden="0" customWidth="1"/>
    <x:col min="16" max="16" width="14" hidden="0" customWidth="1"/>
    <x:col min="17" max="17" width="34" hidden="0" customWidth="1"/>
  </x:cols>
  <x:sheetData>
    <x:row r="1" ht="28" customHeight="1">
      <x:c r="A1" s="4" t="str">
        <x:v>CARGA DE RESULTADOS REALES | UNA FILA POR EMPRESA Y MES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4">
      <x:c r="A4" s="14" t="str">
        <x:v>Periodo</x:v>
      </x:c>
      <x:c r="B4" s="14" t="str">
        <x:v>Empresa</x:v>
      </x:c>
      <x:c r="C4" s="14" t="str">
        <x:v>Unidades</x:v>
      </x:c>
      <x:c r="D4" s="14" t="str">
        <x:v>Ingresos motos</x:v>
      </x:c>
      <x:c r="E4" s="14" t="str">
        <x:v>Costo de motos</x:v>
      </x:c>
      <x:c r="F4" s="14" t="str">
        <x:v>Utilidad documentos</x:v>
      </x:c>
      <x:c r="G4" s="14" t="str">
        <x:v>Ingresos netos taller</x:v>
      </x:c>
      <x:c r="H4" s="14" t="str">
        <x:v>Utilidad repuestos</x:v>
      </x:c>
      <x:c r="I4" s="14" t="str">
        <x:v>Otros productos</x:v>
      </x:c>
      <x:c r="J4" s="14" t="str">
        <x:v>Resultado financiación</x:v>
      </x:c>
      <x:c r="K4" s="14" t="str">
        <x:v>Personal y honorarios</x:v>
      </x:c>
      <x:c r="L4" s="14" t="str">
        <x:v>Otros gastos operativos</x:v>
      </x:c>
      <x:c r="M4" s="14" t="str">
        <x:v>Depreciación</x:v>
      </x:c>
      <x:c r="N4" s="14" t="str">
        <x:v>Impuesto de renta</x:v>
      </x:c>
      <x:c r="O4" s="14" t="str">
        <x:v>Inversiones</x:v>
      </x:c>
      <x:c r="P4" s="14" t="str">
        <x:v>Estado</x:v>
      </x:c>
      <x:c r="Q4" s="14" t="str">
        <x:v>Fuente / comentario</x:v>
      </x:c>
    </x:row>
    <x:row r="5">
      <x:c r="A5" s="23" t="n">
        <x:v>46023</x:v>
      </x:c>
      <x:c r="B5" s="7" t="str">
        <x:v>Moto para Todos</x:v>
      </x:c>
      <x:c r="C5" s="7" t="str"/>
      <x:c r="D5" s="24" t="str"/>
      <x:c r="E5" s="24" t="str"/>
      <x:c r="F5" s="24" t="str"/>
      <x:c r="G5" s="24" t="str"/>
      <x:c r="H5" s="24" t="str"/>
      <x:c r="I5" s="24" t="str"/>
      <x:c r="J5" s="24" t="str"/>
      <x:c r="K5" s="24" t="str"/>
      <x:c r="L5" s="24" t="str"/>
      <x:c r="M5" s="24" t="str"/>
      <x:c r="N5" s="24" t="str"/>
      <x:c r="O5" s="24" t="str"/>
      <x:c r="P5" s="7" t="str">
        <x:v>PENDIENTE</x:v>
      </x:c>
      <x:c r="Q5" s="7" t="str">
        <x:v>Actualizar con cierre contable mensual</x:v>
      </x:c>
    </x:row>
    <x:row r="6">
      <x:c r="A6" s="23" t="n">
        <x:v>46023</x:v>
      </x:c>
      <x:c r="B6" s="7" t="str">
        <x:v>Verificarte</x:v>
      </x:c>
      <x:c r="C6" s="7" t="str"/>
      <x:c r="D6" s="24" t="str"/>
      <x:c r="E6" s="24" t="str"/>
      <x:c r="F6" s="24" t="str"/>
      <x:c r="G6" s="24" t="str"/>
      <x:c r="H6" s="24" t="str"/>
      <x:c r="I6" s="24" t="str"/>
      <x:c r="J6" s="24" t="str"/>
      <x:c r="K6" s="24" t="str"/>
      <x:c r="L6" s="24" t="str"/>
      <x:c r="M6" s="24" t="str"/>
      <x:c r="N6" s="24" t="str"/>
      <x:c r="O6" s="24" t="str"/>
      <x:c r="P6" s="7" t="str">
        <x:v>PENDIENTE</x:v>
      </x:c>
      <x:c r="Q6" s="7" t="str">
        <x:v>Actualizar con cierre contable mensual</x:v>
      </x:c>
    </x:row>
    <x:row r="7">
      <x:c r="A7" s="23" t="n">
        <x:v>46023</x:v>
      </x:c>
      <x:c r="B7" s="7" t="str">
        <x:v>TuClick</x:v>
      </x:c>
      <x:c r="C7" s="7" t="str"/>
      <x:c r="D7" s="24" t="str"/>
      <x:c r="E7" s="24" t="str"/>
      <x:c r="F7" s="24" t="str"/>
      <x:c r="G7" s="24" t="str"/>
      <x:c r="H7" s="24" t="str"/>
      <x:c r="I7" s="24" t="str"/>
      <x:c r="J7" s="24" t="str"/>
      <x:c r="K7" s="24" t="str"/>
      <x:c r="L7" s="24" t="str"/>
      <x:c r="M7" s="24" t="str"/>
      <x:c r="N7" s="24" t="str"/>
      <x:c r="O7" s="24" t="str"/>
      <x:c r="P7" s="7" t="str">
        <x:v>PENDIENTE</x:v>
      </x:c>
      <x:c r="Q7" s="7" t="str">
        <x:v>Actualizar con cierre contable mensual</x:v>
      </x:c>
    </x:row>
    <x:row r="8">
      <x:c r="A8" s="23" t="n">
        <x:v>46054</x:v>
      </x:c>
      <x:c r="B8" s="7" t="str">
        <x:v>Moto para Todos</x:v>
      </x:c>
      <x:c r="C8" s="7" t="str"/>
      <x:c r="D8" s="24" t="str"/>
      <x:c r="E8" s="24" t="str"/>
      <x:c r="F8" s="24" t="str"/>
      <x:c r="G8" s="24" t="str"/>
      <x:c r="H8" s="24" t="str"/>
      <x:c r="I8" s="24" t="str"/>
      <x:c r="J8" s="24" t="str"/>
      <x:c r="K8" s="24" t="str"/>
      <x:c r="L8" s="24" t="str"/>
      <x:c r="M8" s="24" t="str"/>
      <x:c r="N8" s="24" t="str"/>
      <x:c r="O8" s="24" t="str"/>
      <x:c r="P8" s="7" t="str">
        <x:v>PENDIENTE</x:v>
      </x:c>
      <x:c r="Q8" s="7" t="str">
        <x:v>Actualizar con cierre contable mensual</x:v>
      </x:c>
    </x:row>
    <x:row r="9">
      <x:c r="A9" s="23" t="n">
        <x:v>46054</x:v>
      </x:c>
      <x:c r="B9" s="7" t="str">
        <x:v>Verificarte</x:v>
      </x:c>
      <x:c r="C9" s="7" t="str"/>
      <x:c r="D9" s="24" t="str"/>
      <x:c r="E9" s="24" t="str"/>
      <x:c r="F9" s="24" t="str"/>
      <x:c r="G9" s="24" t="str"/>
      <x:c r="H9" s="24" t="str"/>
      <x:c r="I9" s="24" t="str"/>
      <x:c r="J9" s="24" t="str"/>
      <x:c r="K9" s="24" t="str"/>
      <x:c r="L9" s="24" t="str"/>
      <x:c r="M9" s="24" t="str"/>
      <x:c r="N9" s="24" t="str"/>
      <x:c r="O9" s="24" t="str"/>
      <x:c r="P9" s="7" t="str">
        <x:v>PENDIENTE</x:v>
      </x:c>
      <x:c r="Q9" s="7" t="str">
        <x:v>Actualizar con cierre contable mensual</x:v>
      </x:c>
    </x:row>
    <x:row r="10">
      <x:c r="A10" s="23" t="n">
        <x:v>46054</x:v>
      </x:c>
      <x:c r="B10" s="7" t="str">
        <x:v>TuClick</x:v>
      </x:c>
      <x:c r="C10" s="7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  <x:c r="M10" s="24" t="str"/>
      <x:c r="N10" s="24" t="str"/>
      <x:c r="O10" s="24" t="str"/>
      <x:c r="P10" s="7" t="str">
        <x:v>PENDIENTE</x:v>
      </x:c>
      <x:c r="Q10" s="7" t="str">
        <x:v>Actualizar con cierre contable mensual</x:v>
      </x:c>
    </x:row>
    <x:row r="11">
      <x:c r="A11" s="23" t="n">
        <x:v>46082</x:v>
      </x:c>
      <x:c r="B11" s="7" t="str">
        <x:v>Moto para Todos</x:v>
      </x:c>
      <x:c r="C11" s="7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  <x:c r="M11" s="24" t="str"/>
      <x:c r="N11" s="24" t="str"/>
      <x:c r="O11" s="24" t="str"/>
      <x:c r="P11" s="7" t="str">
        <x:v>PENDIENTE</x:v>
      </x:c>
      <x:c r="Q11" s="7" t="str">
        <x:v>Actualizar con cierre contable mensual</x:v>
      </x:c>
    </x:row>
    <x:row r="12">
      <x:c r="A12" s="23" t="n">
        <x:v>46082</x:v>
      </x:c>
      <x:c r="B12" s="7" t="str">
        <x:v>Verificarte</x:v>
      </x:c>
      <x:c r="C12" s="7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  <x:c r="M12" s="24" t="str"/>
      <x:c r="N12" s="24" t="str"/>
      <x:c r="O12" s="24" t="str"/>
      <x:c r="P12" s="7" t="str">
        <x:v>PENDIENTE</x:v>
      </x:c>
      <x:c r="Q12" s="7" t="str">
        <x:v>Actualizar con cierre contable mensual</x:v>
      </x:c>
    </x:row>
    <x:row r="13">
      <x:c r="A13" s="23" t="n">
        <x:v>46082</x:v>
      </x:c>
      <x:c r="B13" s="7" t="str">
        <x:v>TuClick</x:v>
      </x:c>
      <x:c r="C13" s="7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  <x:c r="M13" s="24" t="str"/>
      <x:c r="N13" s="24" t="str"/>
      <x:c r="O13" s="24" t="str"/>
      <x:c r="P13" s="7" t="str">
        <x:v>PENDIENTE</x:v>
      </x:c>
      <x:c r="Q13" s="7" t="str">
        <x:v>Actualizar con cierre contable mensual</x:v>
      </x:c>
    </x:row>
    <x:row r="14">
      <x:c r="A14" s="23" t="n">
        <x:v>46113</x:v>
      </x:c>
      <x:c r="B14" s="7" t="str">
        <x:v>Moto para Todos</x:v>
      </x:c>
      <x:c r="C14" s="7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  <x:c r="M14" s="24" t="str"/>
      <x:c r="N14" s="24" t="str"/>
      <x:c r="O14" s="24" t="str"/>
      <x:c r="P14" s="7" t="str">
        <x:v>PENDIENTE</x:v>
      </x:c>
      <x:c r="Q14" s="7" t="str">
        <x:v>Actualizar con cierre contable mensual</x:v>
      </x:c>
    </x:row>
    <x:row r="15">
      <x:c r="A15" s="23" t="n">
        <x:v>46113</x:v>
      </x:c>
      <x:c r="B15" s="7" t="str">
        <x:v>Verificarte</x:v>
      </x:c>
      <x:c r="C15" s="7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  <x:c r="M15" s="24" t="str"/>
      <x:c r="N15" s="24" t="str"/>
      <x:c r="O15" s="24" t="str"/>
      <x:c r="P15" s="7" t="str">
        <x:v>PENDIENTE</x:v>
      </x:c>
      <x:c r="Q15" s="7" t="str">
        <x:v>Actualizar con cierre contable mensual</x:v>
      </x:c>
    </x:row>
    <x:row r="16">
      <x:c r="A16" s="23" t="n">
        <x:v>46113</x:v>
      </x:c>
      <x:c r="B16" s="7" t="str">
        <x:v>TuClick</x:v>
      </x:c>
      <x:c r="C16" s="7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  <x:c r="M16" s="24" t="str"/>
      <x:c r="N16" s="24" t="str"/>
      <x:c r="O16" s="24" t="str"/>
      <x:c r="P16" s="7" t="str">
        <x:v>PENDIENTE</x:v>
      </x:c>
      <x:c r="Q16" s="7" t="str">
        <x:v>Actualizar con cierre contable mensual</x:v>
      </x:c>
    </x:row>
    <x:row r="17">
      <x:c r="A17" s="23" t="n">
        <x:v>46143</x:v>
      </x:c>
      <x:c r="B17" s="7" t="str">
        <x:v>Moto para Todos</x:v>
      </x:c>
      <x:c r="C17" s="7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  <x:c r="M17" s="24" t="str"/>
      <x:c r="N17" s="24" t="str"/>
      <x:c r="O17" s="24" t="str"/>
      <x:c r="P17" s="7" t="str">
        <x:v>PENDIENTE</x:v>
      </x:c>
      <x:c r="Q17" s="7" t="str">
        <x:v>Actualizar con cierre contable mensual</x:v>
      </x:c>
    </x:row>
    <x:row r="18">
      <x:c r="A18" s="23" t="n">
        <x:v>46143</x:v>
      </x:c>
      <x:c r="B18" s="7" t="str">
        <x:v>Verificarte</x:v>
      </x:c>
      <x:c r="C18" s="7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  <x:c r="M18" s="24" t="str"/>
      <x:c r="N18" s="24" t="str"/>
      <x:c r="O18" s="24" t="str"/>
      <x:c r="P18" s="7" t="str">
        <x:v>PENDIENTE</x:v>
      </x:c>
      <x:c r="Q18" s="7" t="str">
        <x:v>Actualizar con cierre contable mensual</x:v>
      </x:c>
    </x:row>
    <x:row r="19">
      <x:c r="A19" s="23" t="n">
        <x:v>46143</x:v>
      </x:c>
      <x:c r="B19" s="7" t="str">
        <x:v>TuClick</x:v>
      </x:c>
      <x:c r="C19" s="7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  <x:c r="M19" s="24" t="str"/>
      <x:c r="N19" s="24" t="str"/>
      <x:c r="O19" s="24" t="str"/>
      <x:c r="P19" s="7" t="str">
        <x:v>PENDIENTE</x:v>
      </x:c>
      <x:c r="Q19" s="7" t="str">
        <x:v>Actualizar con cierre contable mensual</x:v>
      </x:c>
    </x:row>
    <x:row r="20">
      <x:c r="A20" s="23" t="n">
        <x:v>46174</x:v>
      </x:c>
      <x:c r="B20" s="7" t="str">
        <x:v>Moto para Todos</x:v>
      </x:c>
      <x:c r="C20" s="7" t="str"/>
      <x:c r="D20" s="24" t="str"/>
      <x:c r="E20" s="24" t="str"/>
      <x:c r="F20" s="24" t="str"/>
      <x:c r="G20" s="24" t="str"/>
      <x:c r="H20" s="24" t="str"/>
      <x:c r="I20" s="24" t="str"/>
      <x:c r="J20" s="24" t="str"/>
      <x:c r="K20" s="24" t="str"/>
      <x:c r="L20" s="24" t="str"/>
      <x:c r="M20" s="24" t="str"/>
      <x:c r="N20" s="24" t="str"/>
      <x:c r="O20" s="24" t="str"/>
      <x:c r="P20" s="7" t="str">
        <x:v>PENDIENTE</x:v>
      </x:c>
      <x:c r="Q20" s="7" t="str">
        <x:v>Actualizar con cierre contable mensual</x:v>
      </x:c>
    </x:row>
    <x:row r="21">
      <x:c r="A21" s="23" t="n">
        <x:v>46174</x:v>
      </x:c>
      <x:c r="B21" s="7" t="str">
        <x:v>Verificarte</x:v>
      </x:c>
      <x:c r="C21" s="7" t="str"/>
      <x:c r="D21" s="24" t="str"/>
      <x:c r="E21" s="24" t="str"/>
      <x:c r="F21" s="24" t="str"/>
      <x:c r="G21" s="24" t="str"/>
      <x:c r="H21" s="24" t="str"/>
      <x:c r="I21" s="24" t="str"/>
      <x:c r="J21" s="24" t="str"/>
      <x:c r="K21" s="24" t="str"/>
      <x:c r="L21" s="24" t="str"/>
      <x:c r="M21" s="24" t="str"/>
      <x:c r="N21" s="24" t="str"/>
      <x:c r="O21" s="24" t="str"/>
      <x:c r="P21" s="7" t="str">
        <x:v>PENDIENTE</x:v>
      </x:c>
      <x:c r="Q21" s="7" t="str">
        <x:v>Actualizar con cierre contable mensual</x:v>
      </x:c>
    </x:row>
    <x:row r="22">
      <x:c r="A22" s="23" t="n">
        <x:v>46174</x:v>
      </x:c>
      <x:c r="B22" s="7" t="str">
        <x:v>TuClick</x:v>
      </x:c>
      <x:c r="C22" s="7" t="str"/>
      <x:c r="D22" s="24" t="str"/>
      <x:c r="E22" s="24" t="str"/>
      <x:c r="F22" s="24" t="str"/>
      <x:c r="G22" s="24" t="str"/>
      <x:c r="H22" s="24" t="str"/>
      <x:c r="I22" s="24" t="str"/>
      <x:c r="J22" s="24" t="str"/>
      <x:c r="K22" s="24" t="str"/>
      <x:c r="L22" s="24" t="str"/>
      <x:c r="M22" s="24" t="str"/>
      <x:c r="N22" s="24" t="str"/>
      <x:c r="O22" s="24" t="str"/>
      <x:c r="P22" s="7" t="str">
        <x:v>PENDIENTE</x:v>
      </x:c>
      <x:c r="Q22" s="7" t="str">
        <x:v>Actualizar con cierre contable mensual</x:v>
      </x:c>
    </x:row>
    <x:row r="23">
      <x:c r="A23" s="23" t="n">
        <x:v>46204</x:v>
      </x:c>
      <x:c r="B23" s="7" t="str">
        <x:v>Moto para Todos</x:v>
      </x:c>
      <x:c r="C23" s="7" t="str"/>
      <x:c r="D23" s="24" t="str"/>
      <x:c r="E23" s="24" t="str"/>
      <x:c r="F23" s="24" t="str"/>
      <x:c r="G23" s="24" t="str"/>
      <x:c r="H23" s="24" t="str"/>
      <x:c r="I23" s="24" t="str"/>
      <x:c r="J23" s="24" t="str"/>
      <x:c r="K23" s="24" t="str"/>
      <x:c r="L23" s="24" t="str"/>
      <x:c r="M23" s="24" t="str"/>
      <x:c r="N23" s="24" t="str"/>
      <x:c r="O23" s="24" t="str"/>
      <x:c r="P23" s="7" t="str">
        <x:v>PENDIENTE</x:v>
      </x:c>
      <x:c r="Q23" s="7" t="str">
        <x:v>Actualizar con cierre contable mensual</x:v>
      </x:c>
    </x:row>
    <x:row r="24">
      <x:c r="A24" s="23" t="n">
        <x:v>46204</x:v>
      </x:c>
      <x:c r="B24" s="7" t="str">
        <x:v>Verificarte</x:v>
      </x:c>
      <x:c r="C24" s="7" t="str"/>
      <x:c r="D24" s="24" t="str"/>
      <x:c r="E24" s="24" t="str"/>
      <x:c r="F24" s="24" t="str"/>
      <x:c r="G24" s="24" t="str"/>
      <x:c r="H24" s="24" t="str"/>
      <x:c r="I24" s="24" t="str"/>
      <x:c r="J24" s="24" t="str"/>
      <x:c r="K24" s="24" t="str"/>
      <x:c r="L24" s="24" t="str"/>
      <x:c r="M24" s="24" t="str"/>
      <x:c r="N24" s="24" t="str"/>
      <x:c r="O24" s="24" t="str"/>
      <x:c r="P24" s="7" t="str">
        <x:v>PENDIENTE</x:v>
      </x:c>
      <x:c r="Q24" s="7" t="str">
        <x:v>Actualizar con cierre contable mensual</x:v>
      </x:c>
    </x:row>
    <x:row r="25">
      <x:c r="A25" s="23" t="n">
        <x:v>46204</x:v>
      </x:c>
      <x:c r="B25" s="7" t="str">
        <x:v>TuClick</x:v>
      </x:c>
      <x:c r="C25" s="7" t="str"/>
      <x:c r="D25" s="24" t="str"/>
      <x:c r="E25" s="24" t="str"/>
      <x:c r="F25" s="24" t="str"/>
      <x:c r="G25" s="24" t="str"/>
      <x:c r="H25" s="24" t="str"/>
      <x:c r="I25" s="24" t="str"/>
      <x:c r="J25" s="24" t="str"/>
      <x:c r="K25" s="24" t="str"/>
      <x:c r="L25" s="24" t="str"/>
      <x:c r="M25" s="24" t="str"/>
      <x:c r="N25" s="24" t="str"/>
      <x:c r="O25" s="24" t="str"/>
      <x:c r="P25" s="7" t="str">
        <x:v>PENDIENTE</x:v>
      </x:c>
      <x:c r="Q25" s="7" t="str">
        <x:v>Actualizar con cierre contable mensual</x:v>
      </x:c>
    </x:row>
    <x:row r="26">
      <x:c r="A26" s="23" t="n">
        <x:v>46235</x:v>
      </x:c>
      <x:c r="B26" s="7" t="str">
        <x:v>Moto para Todos</x:v>
      </x:c>
      <x:c r="C26" s="7" t="str"/>
      <x:c r="D26" s="24" t="str"/>
      <x:c r="E26" s="24" t="str"/>
      <x:c r="F26" s="24" t="str"/>
      <x:c r="G26" s="24" t="str"/>
      <x:c r="H26" s="24" t="str"/>
      <x:c r="I26" s="24" t="str"/>
      <x:c r="J26" s="24" t="str"/>
      <x:c r="K26" s="24" t="str"/>
      <x:c r="L26" s="24" t="str"/>
      <x:c r="M26" s="24" t="str"/>
      <x:c r="N26" s="24" t="str"/>
      <x:c r="O26" s="24" t="str"/>
      <x:c r="P26" s="7" t="str">
        <x:v>PENDIENTE</x:v>
      </x:c>
      <x:c r="Q26" s="7" t="str">
        <x:v>Actualizar con cierre contable mensual</x:v>
      </x:c>
    </x:row>
    <x:row r="27">
      <x:c r="A27" s="23" t="n">
        <x:v>46235</x:v>
      </x:c>
      <x:c r="B27" s="7" t="str">
        <x:v>Verificarte</x:v>
      </x:c>
      <x:c r="C27" s="7" t="str"/>
      <x:c r="D27" s="24" t="str"/>
      <x:c r="E27" s="24" t="str"/>
      <x:c r="F27" s="24" t="str"/>
      <x:c r="G27" s="24" t="str"/>
      <x:c r="H27" s="24" t="str"/>
      <x:c r="I27" s="24" t="str"/>
      <x:c r="J27" s="24" t="str"/>
      <x:c r="K27" s="24" t="str"/>
      <x:c r="L27" s="24" t="str"/>
      <x:c r="M27" s="24" t="str"/>
      <x:c r="N27" s="24" t="str"/>
      <x:c r="O27" s="24" t="str"/>
      <x:c r="P27" s="7" t="str">
        <x:v>PENDIENTE</x:v>
      </x:c>
      <x:c r="Q27" s="7" t="str">
        <x:v>Actualizar con cierre contable mensual</x:v>
      </x:c>
    </x:row>
    <x:row r="28">
      <x:c r="A28" s="23" t="n">
        <x:v>46235</x:v>
      </x:c>
      <x:c r="B28" s="7" t="str">
        <x:v>TuClick</x:v>
      </x:c>
      <x:c r="C28" s="7" t="str"/>
      <x:c r="D28" s="24" t="str"/>
      <x:c r="E28" s="24" t="str"/>
      <x:c r="F28" s="24" t="str"/>
      <x:c r="G28" s="24" t="str"/>
      <x:c r="H28" s="24" t="str"/>
      <x:c r="I28" s="24" t="str"/>
      <x:c r="J28" s="24" t="str"/>
      <x:c r="K28" s="24" t="str"/>
      <x:c r="L28" s="24" t="str"/>
      <x:c r="M28" s="24" t="str"/>
      <x:c r="N28" s="24" t="str"/>
      <x:c r="O28" s="24" t="str"/>
      <x:c r="P28" s="7" t="str">
        <x:v>PENDIENTE</x:v>
      </x:c>
      <x:c r="Q28" s="7" t="str">
        <x:v>Actualizar con cierre contable mensual</x:v>
      </x:c>
    </x:row>
  </x:sheetData>
  <x:mergeCells>
    <x:mergeCell ref="A1:Q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6" hidden="0" customWidth="1"/>
    <x:col min="4" max="4" width="16" hidden="0" customWidth="1"/>
    <x:col min="5" max="5" width="20" hidden="0" customWidth="1"/>
    <x:col min="6" max="6" width="42" hidden="0" customWidth="1"/>
  </x:cols>
  <x:sheetData>
    <x:row r="1" ht="28" customHeight="1">
      <x:c r="A1" s="4" t="str">
        <x:v>SUPUESTOS Y ESCENARIOS EDITABLES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14" t="str">
        <x:v>Escenario</x:v>
      </x:c>
      <x:c r="B4" s="14" t="str">
        <x:v>Factor unidades</x:v>
      </x:c>
      <x:c r="C4" s="14" t="str">
        <x:v>Factor precio</x:v>
      </x:c>
      <x:c r="D4" s="14" t="str">
        <x:v>Factor costo</x:v>
      </x:c>
      <x:c r="E4" s="14" t="str">
        <x:v>Factor gastos</x:v>
      </x:c>
      <x:c r="F4" s="14" t="str">
        <x:v>Comentario</x:v>
      </x:c>
    </x:row>
    <x:row r="5">
      <x:c r="A5" t="str">
        <x:v>Conservador</x:v>
      </x:c>
      <x:c r="B5" s="25" t="n">
        <x:v>0.9</x:v>
      </x:c>
      <x:c r="C5" s="25" t="n">
        <x:v>0.99</x:v>
      </x:c>
      <x:c r="D5" s="25" t="n">
        <x:v>1.02</x:v>
      </x:c>
      <x:c r="E5" s="25" t="n">
        <x:v>1.03</x:v>
      </x:c>
      <x:c r="F5" t="str">
        <x:v>Menor volumen y presión de costos</x:v>
      </x:c>
    </x:row>
    <x:row r="6">
      <x:c r="A6" t="str">
        <x:v>Base</x:v>
      </x:c>
      <x:c r="B6" s="25" t="n">
        <x:v>1</x:v>
      </x:c>
      <x:c r="C6" s="25" t="n">
        <x:v>1</x:v>
      </x:c>
      <x:c r="D6" s="25" t="n">
        <x:v>1</x:v>
      </x:c>
      <x:c r="E6" s="25" t="n">
        <x:v>1</x:v>
      </x:c>
      <x:c r="F6" t="str">
        <x:v>Caso de negocio preparado</x:v>
      </x:c>
    </x:row>
    <x:row r="7">
      <x:c r="A7" t="str">
        <x:v>Optimista</x:v>
      </x:c>
      <x:c r="B7" s="25" t="n">
        <x:v>1.1</x:v>
      </x:c>
      <x:c r="C7" s="25" t="n">
        <x:v>1.01</x:v>
      </x:c>
      <x:c r="D7" s="25" t="n">
        <x:v>0.99</x:v>
      </x:c>
      <x:c r="E7" s="25" t="n">
        <x:v>1.02</x:v>
      </x:c>
      <x:c r="F7" t="str">
        <x:v>Mayor volumen con disciplina de margen</x:v>
      </x:c>
    </x:row>
    <x:row r="10">
      <x:c r="A10" s="14" t="str">
        <x:v>Parámetro</x:v>
      </x:c>
      <x:c r="B10" s="14" t="str">
        <x:v>Valor</x:v>
      </x:c>
      <x:c r="C10" s="14" t="str">
        <x:v>Unidad</x:v>
      </x:c>
      <x:c r="D10" s="14" t="str">
        <x:v>Estado</x:v>
      </x:c>
      <x:c r="E10" s="14" t="str">
        <x:v>Responsable</x:v>
      </x:c>
      <x:c r="F10" s="14" t="str">
        <x:v>Comentario</x:v>
      </x:c>
    </x:row>
    <x:row r="11">
      <x:c r="A11" t="str">
        <x:v>Fecha de corte real</x:v>
      </x:c>
      <x:c r="B11" s="9" t="n">
        <x:v>46265</x:v>
      </x:c>
      <x:c r="C11" t="str">
        <x:v>Fecha</x:v>
      </x:c>
      <x:c r="D11" t="str">
        <x:v>EDITABLE</x:v>
      </x:c>
      <x:c r="E11" t="str">
        <x:v>Contabilidad</x:v>
      </x:c>
      <x:c r="F11" t="str">
        <x:v>Cierre real hasta esta fecha</x:v>
      </x:c>
    </x:row>
    <x:row r="12">
      <x:c r="A12" t="str">
        <x:v>SMLMV</x:v>
      </x:c>
      <x:c r="B12" s="24" t="n">
        <x:v>1750905</x:v>
      </x:c>
      <x:c r="C12" t="str">
        <x:v>COP</x:v>
      </x:c>
      <x:c r="D12" t="str">
        <x:v>ACTUALIZAR</x:v>
      </x:c>
      <x:c r="E12" t="str">
        <x:v>Talento humano</x:v>
      </x:c>
      <x:c r="F12" t="str">
        <x:v>Parámetro editable</x:v>
      </x:c>
    </x:row>
    <x:row r="13">
      <x:c r="A13" t="str">
        <x:v>Comisiones comerciales</x:v>
      </x:c>
      <x:c r="B13" s="24" t="n">
        <x:v>0</x:v>
      </x:c>
      <x:c r="C13" t="str">
        <x:v>COP/mes</x:v>
      </x:c>
      <x:c r="D13" t="str">
        <x:v>PENDIENTE</x:v>
      </x:c>
      <x:c r="E13" t="str">
        <x:v>Líderes</x:v>
      </x:c>
      <x:c r="F13" t="str">
        <x:v>Completar por vendedor</x:v>
      </x:c>
    </x:row>
    <x:row r="14">
      <x:c r="A14" t="str">
        <x:v>Variables posventa</x:v>
      </x:c>
      <x:c r="B14" s="24" t="n">
        <x:v>0</x:v>
      </x:c>
      <x:c r="C14" t="str">
        <x:v>COP/mes</x:v>
      </x:c>
      <x:c r="D14" t="str">
        <x:v>PENDIENTE</x:v>
      </x:c>
      <x:c r="E14" t="str">
        <x:v>Posventa</x:v>
      </x:c>
      <x:c r="F14" t="str">
        <x:v>Técnicos y repuestos</x:v>
      </x:c>
    </x:row>
    <x:row r="15">
      <x:c r="A15" t="str">
        <x:v>Inversión Hero</x:v>
      </x:c>
      <x:c r="B15" s="24" t="n">
        <x:v>100000000</x:v>
      </x:c>
      <x:c r="C15" t="str">
        <x:v>COP</x:v>
      </x:c>
      <x:c r="D15" t="str">
        <x:v>VALIDAR</x:v>
      </x:c>
      <x:c r="E15" t="str">
        <x:v>Financiero</x:v>
      </x:c>
      <x:c r="F15" t="str">
        <x:v>Informada como terminada</x:v>
      </x:c>
    </x:row>
    <x:row r="16">
      <x:c r="A16" t="str">
        <x:v>Inversión Honda</x:v>
      </x:c>
      <x:c r="B16" s="24" t="n">
        <x:v>200000000</x:v>
      </x:c>
      <x:c r="C16" t="str">
        <x:v>COP</x:v>
      </x:c>
      <x:c r="D16" t="str">
        <x:v>VALIDAR</x:v>
      </x:c>
      <x:c r="E16" t="str">
        <x:v>Financiero</x:v>
      </x:c>
      <x:c r="F16" t="str">
        <x:v>Pendiente de ejecución</x:v>
      </x:c>
    </x:row>
    <x:row r="17">
      <x:c r="A17" t="str">
        <x:v>Inversión Auteco</x:v>
      </x:c>
      <x:c r="B17" s="24" t="n">
        <x:v>30000000</x:v>
      </x:c>
      <x:c r="C17" t="str">
        <x:v>COP</x:v>
      </x:c>
      <x:c r="D17" t="str">
        <x:v>VALIDAR</x:v>
      </x:c>
      <x:c r="E17" t="str">
        <x:v>Financiero</x:v>
      </x:c>
      <x:c r="F17" t="str">
        <x:v>Informada como terminada</x:v>
      </x:c>
    </x:row>
  </x:sheetData>
  <x:mergeCells>
    <x:mergeCell ref="A1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</x:cols>
  <x:sheetData>
    <x:row r="1" ht="28" customHeight="1">
      <x:c r="A1" s="4" t="str">
        <x:v>RECAUDOS HISTÓRICOS DE CARTERA | BASE CONTROLADA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4" t="str">
        <x:v>Periodo</x:v>
      </x:c>
      <x:c r="B4" s="14" t="str">
        <x:v>Financiador</x:v>
      </x:c>
      <x:c r="C4" s="14" t="str">
        <x:v>N° registros fuente</x:v>
      </x:c>
      <x:c r="D4" s="14" t="str">
        <x:v>Clientes únicos</x:v>
      </x:c>
      <x:c r="E4" s="14" t="str">
        <x:v>Recaudo controlado</x:v>
      </x:c>
      <x:c r="F4" s="14" t="str">
        <x:v>Pago promedio indicativo</x:v>
      </x:c>
      <x:c r="G4" s="14" t="str">
        <x:v>Calidad</x:v>
      </x:c>
      <x:c r="H4" s="14" t="str">
        <x:v>Fuente</x:v>
      </x:c>
    </x:row>
    <x:row r="5">
      <x:c r="A5" s="26" t="n">
        <x:v>45901</x:v>
      </x:c>
      <x:c r="B5" t="str">
        <x:v>Moto para Todos</x:v>
      </x:c>
      <x:c r="C5" t="n">
        <x:v>47</x:v>
      </x:c>
      <x:c r="D5" t="n">
        <x:v>37</x:v>
      </x:c>
      <x:c r="E5" s="16" t="n">
        <x:v>25584214</x:v>
      </x:c>
      <x:c r="F5" s="16" t="n">
        <x:v>544344.98</x:v>
      </x:c>
      <x:c r="G5" t="str">
        <x:v>CONCILIADO</x:v>
      </x:c>
      <x:c r="H5" t="str">
        <x:v>comparacion mensual</x:v>
      </x:c>
    </x:row>
    <x:row r="6">
      <x:c r="A6" s="26" t="n">
        <x:v>45901</x:v>
      </x:c>
      <x:c r="B6" t="str">
        <x:v>Verificarte</x:v>
      </x:c>
      <x:c r="C6" t="n">
        <x:v>118</x:v>
      </x:c>
      <x:c r="D6" t="n">
        <x:v>92</x:v>
      </x:c>
      <x:c r="E6" s="16" t="n">
        <x:v>51263352</x:v>
      </x:c>
      <x:c r="F6" s="16" t="n">
        <x:v>434435.19</x:v>
      </x:c>
      <x:c r="G6" t="str">
        <x:v>CONCILIADO</x:v>
      </x:c>
      <x:c r="H6" t="str">
        <x:v>comparacion mensual</x:v>
      </x:c>
    </x:row>
    <x:row r="7">
      <x:c r="A7" s="26" t="n">
        <x:v>45931</x:v>
      </x:c>
      <x:c r="B7" t="str">
        <x:v>Moto para Todos</x:v>
      </x:c>
      <x:c r="C7" t="n">
        <x:v>71</x:v>
      </x:c>
      <x:c r="D7" t="n">
        <x:v>55</x:v>
      </x:c>
      <x:c r="E7" s="16" t="n">
        <x:v>31706506</x:v>
      </x:c>
      <x:c r="F7" s="16" t="n">
        <x:v>446570.51</x:v>
      </x:c>
      <x:c r="G7" t="str">
        <x:v>CONCILIADO</x:v>
      </x:c>
      <x:c r="H7" t="str">
        <x:v>comparacion mensual</x:v>
      </x:c>
    </x:row>
    <x:row r="8">
      <x:c r="A8" s="26" t="n">
        <x:v>45931</x:v>
      </x:c>
      <x:c r="B8" t="str">
        <x:v>Verificarte</x:v>
      </x:c>
      <x:c r="C8" t="n">
        <x:v>143</x:v>
      </x:c>
      <x:c r="D8" t="n">
        <x:v>104</x:v>
      </x:c>
      <x:c r="E8" s="16" t="n">
        <x:v>50853783</x:v>
      </x:c>
      <x:c r="F8" s="16" t="n">
        <x:v>355620.86</x:v>
      </x:c>
      <x:c r="G8" t="str">
        <x:v>CONCILIADO</x:v>
      </x:c>
      <x:c r="H8" t="str">
        <x:v>comparacion mensual</x:v>
      </x:c>
    </x:row>
    <x:row r="9">
      <x:c r="A9" s="26" t="n">
        <x:v>45962</x:v>
      </x:c>
      <x:c r="B9" t="str">
        <x:v>Moto para Todos</x:v>
      </x:c>
      <x:c r="C9" t="n">
        <x:v>64</x:v>
      </x:c>
      <x:c r="D9" t="n">
        <x:v>55</x:v>
      </x:c>
      <x:c r="E9" s="16" t="n">
        <x:v>28504683</x:v>
      </x:c>
      <x:c r="F9" s="16" t="n">
        <x:v>445385.67</x:v>
      </x:c>
      <x:c r="G9" t="str">
        <x:v>CONCILIADO</x:v>
      </x:c>
      <x:c r="H9" t="str">
        <x:v>comparacion mensual</x:v>
      </x:c>
    </x:row>
    <x:row r="10">
      <x:c r="A10" s="26" t="n">
        <x:v>45962</x:v>
      </x:c>
      <x:c r="B10" t="str">
        <x:v>Verificarte</x:v>
      </x:c>
      <x:c r="C10" t="n">
        <x:v>100</x:v>
      </x:c>
      <x:c r="D10" t="n">
        <x:v>84</x:v>
      </x:c>
      <x:c r="E10" s="16" t="n">
        <x:v>36691663</x:v>
      </x:c>
      <x:c r="F10" s="16" t="n">
        <x:v>366916.63</x:v>
      </x:c>
      <x:c r="G10" t="str">
        <x:v>CONCILIADO</x:v>
      </x:c>
      <x:c r="H10" t="str">
        <x:v>comparacion mensual</x:v>
      </x:c>
    </x:row>
    <x:row r="11">
      <x:c r="A11" s="26" t="n">
        <x:v>45992</x:v>
      </x:c>
      <x:c r="B11" t="str">
        <x:v>Moto para Todos</x:v>
      </x:c>
      <x:c r="C11" t="n">
        <x:v>79</x:v>
      </x:c>
      <x:c r="D11" t="n">
        <x:v>69</x:v>
      </x:c>
      <x:c r="E11" s="16" t="n">
        <x:v>41662931</x:v>
      </x:c>
      <x:c r="F11" s="16" t="n">
        <x:v>527378.87</x:v>
      </x:c>
      <x:c r="G11" t="str">
        <x:v>CONCILIADO</x:v>
      </x:c>
      <x:c r="H11" t="str">
        <x:v>comparacion mensual</x:v>
      </x:c>
    </x:row>
    <x:row r="12">
      <x:c r="A12" s="26" t="n">
        <x:v>45992</x:v>
      </x:c>
      <x:c r="B12" t="str">
        <x:v>Verificarte</x:v>
      </x:c>
      <x:c r="C12" t="n">
        <x:v>121</x:v>
      </x:c>
      <x:c r="D12" t="n">
        <x:v>97</x:v>
      </x:c>
      <x:c r="E12" s="16" t="n">
        <x:v>45341207</x:v>
      </x:c>
      <x:c r="F12" s="16" t="n">
        <x:v>374720.72</x:v>
      </x:c>
      <x:c r="G12" t="str">
        <x:v>CONCILIADO</x:v>
      </x:c>
      <x:c r="H12" t="str">
        <x:v>comparacion mensual</x:v>
      </x:c>
    </x:row>
    <x:row r="13">
      <x:c r="A13" s="26" t="n">
        <x:v>46023</x:v>
      </x:c>
      <x:c r="B13" t="str">
        <x:v>Moto para Todos</x:v>
      </x:c>
      <x:c r="C13" t="n">
        <x:v>88</x:v>
      </x:c>
      <x:c r="D13" t="n">
        <x:v>77</x:v>
      </x:c>
      <x:c r="E13" s="16" t="n">
        <x:v>41492982</x:v>
      </x:c>
      <x:c r="F13" s="16" t="n">
        <x:v>471511.16</x:v>
      </x:c>
      <x:c r="G13" t="str">
        <x:v>CONCILIADO</x:v>
      </x:c>
      <x:c r="H13" t="str">
        <x:v>comparacion mensual</x:v>
      </x:c>
    </x:row>
    <x:row r="14">
      <x:c r="A14" s="26" t="n">
        <x:v>46023</x:v>
      </x:c>
      <x:c r="B14" t="str">
        <x:v>Verificarte</x:v>
      </x:c>
      <x:c r="C14" t="n">
        <x:v>122</x:v>
      </x:c>
      <x:c r="D14" t="n">
        <x:v>92</x:v>
      </x:c>
      <x:c r="E14" s="16" t="n">
        <x:v>55974157</x:v>
      </x:c>
      <x:c r="F14" s="16" t="n">
        <x:v>458804.57</x:v>
      </x:c>
      <x:c r="G14" t="str">
        <x:v>CONCILIADO</x:v>
      </x:c>
      <x:c r="H14" t="str">
        <x:v>comparacion mensual</x:v>
      </x:c>
    </x:row>
    <x:row r="15">
      <x:c r="A15" s="26" t="n">
        <x:v>46054</x:v>
      </x:c>
      <x:c r="B15" t="str">
        <x:v>Moto para Todos</x:v>
      </x:c>
      <x:c r="C15" t="n">
        <x:v>95</x:v>
      </x:c>
      <x:c r="D15" t="n">
        <x:v>84</x:v>
      </x:c>
      <x:c r="E15" s="16" t="n">
        <x:v>48389248</x:v>
      </x:c>
      <x:c r="F15" s="16" t="n">
        <x:v>509360.51</x:v>
      </x:c>
      <x:c r="G15" t="str">
        <x:v>CONCILIADO</x:v>
      </x:c>
      <x:c r="H15" t="str">
        <x:v>comparacion mensual</x:v>
      </x:c>
    </x:row>
    <x:row r="16">
      <x:c r="A16" s="26" t="n">
        <x:v>46054</x:v>
      </x:c>
      <x:c r="B16" t="str">
        <x:v>Verificarte</x:v>
      </x:c>
      <x:c r="C16" t="n">
        <x:v>107</x:v>
      </x:c>
      <x:c r="D16" t="n">
        <x:v>88</x:v>
      </x:c>
      <x:c r="E16" s="16" t="n">
        <x:v>44389422</x:v>
      </x:c>
      <x:c r="F16" s="16" t="n">
        <x:v>414854.41</x:v>
      </x:c>
      <x:c r="G16" t="str">
        <x:v>CONCILIADO</x:v>
      </x:c>
      <x:c r="H16" t="str">
        <x:v>comparacion mensual</x:v>
      </x:c>
    </x:row>
    <x:row r="17">
      <x:c r="A17" s="26" t="n">
        <x:v>46082</x:v>
      </x:c>
      <x:c r="B17" t="str">
        <x:v>Moto para Todos</x:v>
      </x:c>
      <x:c r="C17" t="n">
        <x:v>124</x:v>
      </x:c>
      <x:c r="D17" t="n">
        <x:v>104</x:v>
      </x:c>
      <x:c r="E17" s="16" t="n">
        <x:v>61682463</x:v>
      </x:c>
      <x:c r="F17" s="16" t="n">
        <x:v>497439.22</x:v>
      </x:c>
      <x:c r="G17" t="str">
        <x:v>CONCILIADO</x:v>
      </x:c>
      <x:c r="H17" t="str">
        <x:v>comparacion mensual</x:v>
      </x:c>
    </x:row>
    <x:row r="18">
      <x:c r="A18" s="26" t="n">
        <x:v>46082</x:v>
      </x:c>
      <x:c r="B18" t="str">
        <x:v>Verificarte</x:v>
      </x:c>
      <x:c r="C18" t="n">
        <x:v>102</x:v>
      </x:c>
      <x:c r="D18" t="n">
        <x:v>83</x:v>
      </x:c>
      <x:c r="E18" s="16" t="n">
        <x:v>40356439</x:v>
      </x:c>
      <x:c r="F18" s="16" t="n">
        <x:v>395651.36</x:v>
      </x:c>
      <x:c r="G18" t="str">
        <x:v>CONCILIADO</x:v>
      </x:c>
      <x:c r="H18" t="str">
        <x:v>comparacion mensual</x:v>
      </x:c>
    </x:row>
    <x:row r="19">
      <x:c r="A19" s="26" t="n">
        <x:v>46113</x:v>
      </x:c>
      <x:c r="B19" t="str">
        <x:v>Moto para Todos</x:v>
      </x:c>
      <x:c r="C19" t="n">
        <x:v>126</x:v>
      </x:c>
      <x:c r="D19" t="n">
        <x:v>111</x:v>
      </x:c>
      <x:c r="E19" s="16" t="n">
        <x:v>62593885</x:v>
      </x:c>
      <x:c r="F19" s="16" t="n">
        <x:v>496776.87</x:v>
      </x:c>
      <x:c r="G19" t="str">
        <x:v>CONCILIADO</x:v>
      </x:c>
      <x:c r="H19" t="str">
        <x:v>comparacion mensual</x:v>
      </x:c>
    </x:row>
    <x:row r="20">
      <x:c r="A20" s="26" t="n">
        <x:v>46113</x:v>
      </x:c>
      <x:c r="B20" t="str">
        <x:v>Verificarte</x:v>
      </x:c>
      <x:c r="C20" t="n">
        <x:v>92</x:v>
      </x:c>
      <x:c r="D20" t="n">
        <x:v>74</x:v>
      </x:c>
      <x:c r="E20" s="16" t="n">
        <x:v>36692333</x:v>
      </x:c>
      <x:c r="F20" s="16" t="n">
        <x:v>398829.71</x:v>
      </x:c>
      <x:c r="G20" t="str">
        <x:v>CONCILIADO</x:v>
      </x:c>
      <x:c r="H20" t="str">
        <x:v>comparacion mensual</x:v>
      </x:c>
    </x:row>
    <x:row r="21">
      <x:c r="A21" s="26" t="n">
        <x:v>46143</x:v>
      </x:c>
      <x:c r="B21" t="str">
        <x:v>Moto para Todos</x:v>
      </x:c>
      <x:c r="C21" t="n">
        <x:v>125</x:v>
      </x:c>
      <x:c r="D21" t="n">
        <x:v>113</x:v>
      </x:c>
      <x:c r="E21" s="16" t="n">
        <x:v>68195645</x:v>
      </x:c>
      <x:c r="F21" s="16" t="n">
        <x:v>545565.16</x:v>
      </x:c>
      <x:c r="G21" t="str">
        <x:v>CONCILIADO</x:v>
      </x:c>
      <x:c r="H21" t="str">
        <x:v>comparacion mensual</x:v>
      </x:c>
    </x:row>
    <x:row r="22">
      <x:c r="A22" s="26" t="n">
        <x:v>46143</x:v>
      </x:c>
      <x:c r="B22" t="str">
        <x:v>Verificarte</x:v>
      </x:c>
      <x:c r="C22" t="n">
        <x:v>73</x:v>
      </x:c>
      <x:c r="D22" t="n">
        <x:v>62</x:v>
      </x:c>
      <x:c r="E22" s="16" t="n">
        <x:v>31704200</x:v>
      </x:c>
      <x:c r="F22" s="16" t="n">
        <x:v>434304.11</x:v>
      </x:c>
      <x:c r="G22" t="str">
        <x:v>CONCILIADO</x:v>
      </x:c>
      <x:c r="H22" t="str">
        <x:v>comparacion mensual</x:v>
      </x:c>
    </x:row>
    <x:row r="23">
      <x:c r="A23" s="26" t="n">
        <x:v>46174</x:v>
      </x:c>
      <x:c r="B23" t="str">
        <x:v>Moto para Todos</x:v>
      </x:c>
      <x:c r="C23" t="n">
        <x:v>132</x:v>
      </x:c>
      <x:c r="D23" t="n">
        <x:v>114</x:v>
      </x:c>
      <x:c r="E23" s="16" t="n">
        <x:v>64432913</x:v>
      </x:c>
      <x:c r="F23" s="16" t="n">
        <x:v>488128.13</x:v>
      </x:c>
      <x:c r="G23" t="str">
        <x:v>CONCILIADO</x:v>
      </x:c>
      <x:c r="H23" t="str">
        <x:v>comparacion mensual</x:v>
      </x:c>
    </x:row>
    <x:row r="24">
      <x:c r="A24" s="26" t="n">
        <x:v>46174</x:v>
      </x:c>
      <x:c r="B24" t="str">
        <x:v>Verificarte</x:v>
      </x:c>
      <x:c r="C24" t="n">
        <x:v>61</x:v>
      </x:c>
      <x:c r="D24" t="n">
        <x:v>50</x:v>
      </x:c>
      <x:c r="E24" s="16" t="n">
        <x:v>31090302</x:v>
      </x:c>
      <x:c r="F24" s="16" t="n">
        <x:v>509677.08</x:v>
      </x:c>
      <x:c r="G24" t="str">
        <x:v>CONCILIADO</x:v>
      </x:c>
      <x:c r="H24" t="str">
        <x:v>comparacion mensual</x:v>
      </x:c>
    </x:row>
    <x:row r="25">
      <x:c r="A25" s="26" t="n">
        <x:v>46204</x:v>
      </x:c>
      <x:c r="B25" t="str">
        <x:v>Moto para Todos</x:v>
      </x:c>
      <x:c r="C25" t="n">
        <x:v>172</x:v>
      </x:c>
      <x:c r="D25" t="n">
        <x:v>145</x:v>
      </x:c>
      <x:c r="E25" s="16" t="n">
        <x:v>73473819</x:v>
      </x:c>
      <x:c r="F25" s="16" t="n">
        <x:v>427173.37</x:v>
      </x:c>
      <x:c r="G25" t="str">
        <x:v>PARCIAL / VALIDAR</x:v>
      </x:c>
      <x:c r="H25" t="str">
        <x:v>detalle identificado</x:v>
      </x:c>
    </x:row>
    <x:row r="26">
      <x:c r="A26" s="26" t="n">
        <x:v>46204</x:v>
      </x:c>
      <x:c r="B26" t="str">
        <x:v>Verificarte</x:v>
      </x:c>
      <x:c r="C26" t="n">
        <x:v>76</x:v>
      </x:c>
      <x:c r="D26" t="n">
        <x:v>63</x:v>
      </x:c>
      <x:c r="E26" s="16" t="n">
        <x:v>21744159</x:v>
      </x:c>
      <x:c r="F26" s="16" t="n">
        <x:v>286107.36</x:v>
      </x:c>
      <x:c r="G26" t="str">
        <x:v>PARCIAL / VALIDAR</x:v>
      </x:c>
      <x:c r="H26" t="str">
        <x:v>detalle identificado</x:v>
      </x:c>
    </x:row>
    <x:row r="27">
      <x:c r="A27" s="26" t="n">
        <x:v>46235</x:v>
      </x:c>
      <x:c r="B27" t="str">
        <x:v>Moto para Todos</x:v>
      </x:c>
      <x:c r="C27" t="n">
        <x:v>57</x:v>
      </x:c>
      <x:c r="D27" t="n">
        <x:v>50</x:v>
      </x:c>
      <x:c r="E27" s="16" t="n">
        <x:v>23753051</x:v>
      </x:c>
      <x:c r="F27" s="16" t="n">
        <x:v>416720.19</x:v>
      </x:c>
      <x:c r="G27" t="str">
        <x:v>PARCIAL / VALIDAR</x:v>
      </x:c>
      <x:c r="H27" t="str">
        <x:v>detalle identificado</x:v>
      </x:c>
    </x:row>
    <x:row r="28">
      <x:c r="A28" s="26" t="n">
        <x:v>46235</x:v>
      </x:c>
      <x:c r="B28" t="str">
        <x:v>Verificarte</x:v>
      </x:c>
      <x:c r="C28" t="n">
        <x:v>18</x:v>
      </x:c>
      <x:c r="D28" t="n">
        <x:v>12</x:v>
      </x:c>
      <x:c r="E28" s="16" t="n">
        <x:v>4635400</x:v>
      </x:c>
      <x:c r="F28" s="16" t="n">
        <x:v>257522.22</x:v>
      </x:c>
      <x:c r="G28" t="str">
        <x:v>PARCIAL / VALIDAR</x:v>
      </x:c>
      <x:c r="H28" t="str">
        <x:v>detalle identificado</x:v>
      </x:c>
    </x:row>
  </x:sheetData>
  <x:mergeCells>
    <x:mergeCell ref="A1:H2"/>
  </x:mergeCells>
  <x:conditionalFormatting sqref="G5:G28">
    <x:cfRule type="containsText" dxfId="0" priority="1" operator="containsText" text="PARCIAL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18" hidden="0" customWidth="1"/>
    <x:col min="5" max="5" width="18" hidden="0" customWidth="1"/>
    <x:col min="6" max="6" width="48" hidden="0" customWidth="1"/>
  </x:cols>
  <x:sheetData>
    <x:row r="1" ht="28" customHeight="1">
      <x:c r="A1" s="4" t="str">
        <x:v>SUPUESTOS EDITABLES DE FINANCIACIÓN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14" t="str">
        <x:v>Parámetro</x:v>
      </x:c>
      <x:c r="B4" s="14" t="str">
        <x:v>Moto para Todos</x:v>
      </x:c>
      <x:c r="C4" s="14" t="str">
        <x:v>Verificarte</x:v>
      </x:c>
      <x:c r="D4" s="14" t="str">
        <x:v>Unidad</x:v>
      </x:c>
      <x:c r="E4" s="14" t="str">
        <x:v>Estado</x:v>
      </x:c>
      <x:c r="F4" s="14" t="str">
        <x:v>Comentario</x:v>
      </x:c>
    </x:row>
    <x:row r="5">
      <x:c r="A5" t="str">
        <x:v>Participación de colocaciones</x:v>
      </x:c>
      <x:c r="B5" s="25" t="n">
        <x:v>0.9</x:v>
      </x:c>
      <x:c r="C5" s="25" t="n">
        <x:v>0.1</x:v>
      </x:c>
      <x:c r="D5" t="str">
        <x:v>%</x:v>
      </x:c>
      <x:c r="E5" t="str">
        <x:v>CONFIRMADO</x:v>
      </x:c>
      <x:c r="F5" t="str">
        <x:v>Distribución actual 90% / 10%</x:v>
      </x:c>
    </x:row>
    <x:row r="6">
      <x:c r="A6" t="str">
        <x:v>Crédito promedio</x:v>
      </x:c>
      <x:c r="B6" s="24" t="n">
        <x:v>6000000</x:v>
      </x:c>
      <x:c r="C6" s="24" t="n">
        <x:v>6000000</x:v>
      </x:c>
      <x:c r="D6" t="str">
        <x:v>COP/crédito</x:v>
      </x:c>
      <x:c r="E6" t="str">
        <x:v>EDITABLE</x:v>
      </x:c>
      <x:c r="F6" t="str">
        <x:v>Promedio informado</x:v>
      </x:c>
    </x:row>
    <x:row r="7">
      <x:c r="A7" t="str">
        <x:v>Ticket promedio moto</x:v>
      </x:c>
      <x:c r="B7" s="24" t="n">
        <x:v>10000000</x:v>
      </x:c>
      <x:c r="C7" s="24" t="n">
        <x:v>10000000</x:v>
      </x:c>
      <x:c r="D7" t="str">
        <x:v>COP/unidad</x:v>
      </x:c>
      <x:c r="E7" t="str">
        <x:v>EDITABLE</x:v>
      </x:c>
      <x:c r="F7" t="str">
        <x:v>Promedio informado</x:v>
      </x:c>
    </x:row>
    <x:row r="8">
      <x:c r="A8" t="str">
        <x:v>Tasa mensual</x:v>
      </x:c>
      <x:c r="B8" s="25" t="n">
        <x:v>0.0216</x:v>
      </x:c>
      <x:c r="C8" s="25" t="n">
        <x:v>0.0216</x:v>
      </x:c>
      <x:c r="D8" t="str">
        <x:v>% MV</x:v>
      </x:c>
      <x:c r="E8" t="str">
        <x:v>EDITABLE</x:v>
      </x:c>
      <x:c r="F8" t="str">
        <x:v>Tasa actual informada</x:v>
      </x:c>
    </x:row>
    <x:row r="9">
      <x:c r="A9" t="str">
        <x:v>Penetración financiación</x:v>
      </x:c>
      <x:c r="B9" s="25" t="n">
        <x:v>0.5</x:v>
      </x:c>
      <x:c r="C9" s="25" t="n">
        <x:v>0.5</x:v>
      </x:c>
      <x:c r="D9" t="str">
        <x:v>% ventas</x:v>
      </x:c>
      <x:c r="E9" t="str">
        <x:v>PENDIENTE</x:v>
      </x:c>
      <x:c r="F9" t="str">
        <x:v>Porcentaje de motos vendidas financiadas</x:v>
      </x:c>
    </x:row>
    <x:row r="10">
      <x:c r="A10" t="str">
        <x:v>Plazo promedio</x:v>
      </x:c>
      <x:c r="B10" s="7" t="n">
        <x:v>24</x:v>
      </x:c>
      <x:c r="C10" s="7" t="n">
        <x:v>24</x:v>
      </x:c>
      <x:c r="D10" t="str">
        <x:v>meses</x:v>
      </x:c>
      <x:c r="E10" t="str">
        <x:v>PENDIENTE</x:v>
      </x:c>
      <x:c r="F10" t="str">
        <x:v>Plazo promedio de nuevos créditos</x:v>
      </x:c>
    </x:row>
    <x:row r="11">
      <x:c r="A11" t="str">
        <x:v>Saldo cartera inicial</x:v>
      </x:c>
      <x:c r="B11" s="24" t="n">
        <x:v>0</x:v>
      </x:c>
      <x:c r="C11" s="24" t="n">
        <x:v>0</x:v>
      </x:c>
      <x:c r="D11" t="str">
        <x:v>COP</x:v>
      </x:c>
      <x:c r="E11" t="str">
        <x:v>PENDIENTE</x:v>
      </x:c>
      <x:c r="F11" t="str">
        <x:v>Saldo de capital al 31-ago-2026</x:v>
      </x:c>
    </x:row>
    <x:row r="12">
      <x:c r="A12" t="str">
        <x:v>Capital disponible inicial</x:v>
      </x:c>
      <x:c r="B12" s="24" t="n">
        <x:v>0</x:v>
      </x:c>
      <x:c r="C12" s="24" t="n">
        <x:v>0</x:v>
      </x:c>
      <x:c r="D12" t="str">
        <x:v>COP</x:v>
      </x:c>
      <x:c r="E12" t="str">
        <x:v>PENDIENTE</x:v>
      </x:c>
      <x:c r="F12" t="str">
        <x:v>Caja/fondeo disponible para nuevas colocaciones</x:v>
      </x:c>
    </x:row>
    <x:row r="13">
      <x:c r="A13" t="str">
        <x:v>Recaudo de capital mensual</x:v>
      </x:c>
      <x:c r="B13" s="25" t="n">
        <x:v>0.04</x:v>
      </x:c>
      <x:c r="C13" s="25" t="n">
        <x:v>0.04</x:v>
      </x:c>
      <x:c r="D13" t="str">
        <x:v>% saldo inicial</x:v>
      </x:c>
      <x:c r="E13" t="str">
        <x:v>EDITABLE</x:v>
      </x:c>
      <x:c r="F13" t="str">
        <x:v>Supuesto temporal hasta contar con tabla de amortización</x:v>
      </x:c>
    </x:row>
  </x:sheetData>
  <x:mergeCells>
    <x:mergeCell ref="A1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20" hidden="0" customWidth="1"/>
    <x:col min="4" max="4" width="18" hidden="0" customWidth="1"/>
    <x:col min="5" max="5" width="18" hidden="0" customWidth="1"/>
    <x:col min="6" max="6" width="18" hidden="0" customWidth="1"/>
    <x:col min="7" max="7" width="12" hidden="0" customWidth="1"/>
    <x:col min="8" max="8" width="16" hidden="0" customWidth="1"/>
    <x:col min="9" max="9" width="18" hidden="0" customWidth="1"/>
    <x:col min="10" max="10" width="12" hidden="0" customWidth="1"/>
    <x:col min="11" max="11" width="18" hidden="0" customWidth="1"/>
    <x:col min="12" max="12" width="18" hidden="0" customWidth="1"/>
    <x:col min="13" max="13" width="16" hidden="0" customWidth="1"/>
    <x:col min="14" max="14" width="36" hidden="0" customWidth="1"/>
  </x:cols>
  <x:sheetData>
    <x:row r="1" ht="28" customHeight="1">
      <x:c r="A1" s="4" t="str">
        <x:v>MAESTRO DE CARTERA VIGENTE | ACTUALIZACIÓN DEL EQUIPO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4">
      <x:c r="A4" s="14" t="str">
        <x:v>ID crédito</x:v>
      </x:c>
      <x:c r="B4" s="14" t="str">
        <x:v>Documento cliente</x:v>
      </x:c>
      <x:c r="C4" s="14" t="str">
        <x:v>Financiador</x:v>
      </x:c>
      <x:c r="D4" s="14" t="str">
        <x:v>Fecha desembolso</x:v>
      </x:c>
      <x:c r="E4" s="14" t="str">
        <x:v>Capital original</x:v>
      </x:c>
      <x:c r="F4" s="14" t="str">
        <x:v>Saldo capital corte</x:v>
      </x:c>
      <x:c r="G4" s="14" t="str">
        <x:v>Tasa MV</x:v>
      </x:c>
      <x:c r="H4" s="14" t="str">
        <x:v>Plazo restante</x:v>
      </x:c>
      <x:c r="I4" s="14" t="str">
        <x:v>Cuota mensual</x:v>
      </x:c>
      <x:c r="J4" s="14" t="str">
        <x:v>Días mora</x:v>
      </x:c>
      <x:c r="K4" s="14" t="str">
        <x:v>Estado</x:v>
      </x:c>
      <x:c r="L4" s="14" t="str">
        <x:v>Próximo vencimiento</x:v>
      </x:c>
      <x:c r="M4" s="14" t="str">
        <x:v>Seguro mensual</x:v>
      </x:c>
      <x:c r="N4" s="14" t="str">
        <x:v>Observación</x:v>
      </x:c>
    </x:row>
    <x:row r="5">
      <x:c r="A5" s="7" t="str"/>
      <x:c r="B5" s="7" t="str"/>
      <x:c r="C5" s="7" t="str"/>
      <x:c r="D5" s="9" t="str"/>
      <x:c r="E5" s="24" t="str"/>
      <x:c r="F5" s="24" t="str"/>
      <x:c r="G5" s="25" t="str"/>
      <x:c r="H5" s="7" t="str"/>
      <x:c r="I5" s="24" t="str"/>
      <x:c r="J5" s="7" t="str"/>
      <x:c r="K5" s="7" t="str"/>
      <x:c r="L5" s="9" t="str"/>
      <x:c r="M5" s="24" t="str"/>
      <x:c r="N5" s="7" t="str"/>
    </x:row>
    <x:row r="6">
      <x:c r="A6" s="7" t="str"/>
      <x:c r="B6" s="7" t="str"/>
      <x:c r="C6" s="7" t="str"/>
      <x:c r="D6" s="9" t="str"/>
      <x:c r="E6" s="24" t="str"/>
      <x:c r="F6" s="24" t="str"/>
      <x:c r="G6" s="25" t="str"/>
      <x:c r="H6" s="7" t="str"/>
      <x:c r="I6" s="24" t="str"/>
      <x:c r="J6" s="7" t="str"/>
      <x:c r="K6" s="7" t="str"/>
      <x:c r="L6" s="9" t="str"/>
      <x:c r="M6" s="24" t="str"/>
      <x:c r="N6" s="7" t="str"/>
    </x:row>
    <x:row r="7">
      <x:c r="A7" s="7" t="str"/>
      <x:c r="B7" s="7" t="str"/>
      <x:c r="C7" s="7" t="str"/>
      <x:c r="D7" s="9" t="str"/>
      <x:c r="E7" s="24" t="str"/>
      <x:c r="F7" s="24" t="str"/>
      <x:c r="G7" s="25" t="str"/>
      <x:c r="H7" s="7" t="str"/>
      <x:c r="I7" s="24" t="str"/>
      <x:c r="J7" s="7" t="str"/>
      <x:c r="K7" s="7" t="str"/>
      <x:c r="L7" s="9" t="str"/>
      <x:c r="M7" s="24" t="str"/>
      <x:c r="N7" s="7" t="str"/>
    </x:row>
    <x:row r="8">
      <x:c r="A8" s="7" t="str"/>
      <x:c r="B8" s="7" t="str"/>
      <x:c r="C8" s="7" t="str"/>
      <x:c r="D8" s="9" t="str"/>
      <x:c r="E8" s="24" t="str"/>
      <x:c r="F8" s="24" t="str"/>
      <x:c r="G8" s="25" t="str"/>
      <x:c r="H8" s="7" t="str"/>
      <x:c r="I8" s="24" t="str"/>
      <x:c r="J8" s="7" t="str"/>
      <x:c r="K8" s="7" t="str"/>
      <x:c r="L8" s="9" t="str"/>
      <x:c r="M8" s="24" t="str"/>
      <x:c r="N8" s="7" t="str"/>
    </x:row>
    <x:row r="9">
      <x:c r="A9" s="7" t="str"/>
      <x:c r="B9" s="7" t="str"/>
      <x:c r="C9" s="7" t="str"/>
      <x:c r="D9" s="9" t="str"/>
      <x:c r="E9" s="24" t="str"/>
      <x:c r="F9" s="24" t="str"/>
      <x:c r="G9" s="25" t="str"/>
      <x:c r="H9" s="7" t="str"/>
      <x:c r="I9" s="24" t="str"/>
      <x:c r="J9" s="7" t="str"/>
      <x:c r="K9" s="7" t="str"/>
      <x:c r="L9" s="9" t="str"/>
      <x:c r="M9" s="24" t="str"/>
      <x:c r="N9" s="7" t="str"/>
    </x:row>
    <x:row r="10">
      <x:c r="A10" s="7" t="str"/>
      <x:c r="B10" s="7" t="str"/>
      <x:c r="C10" s="7" t="str"/>
      <x:c r="D10" s="9" t="str"/>
      <x:c r="E10" s="24" t="str"/>
      <x:c r="F10" s="24" t="str"/>
      <x:c r="G10" s="25" t="str"/>
      <x:c r="H10" s="7" t="str"/>
      <x:c r="I10" s="24" t="str"/>
      <x:c r="J10" s="7" t="str"/>
      <x:c r="K10" s="7" t="str"/>
      <x:c r="L10" s="9" t="str"/>
      <x:c r="M10" s="24" t="str"/>
      <x:c r="N10" s="7" t="str"/>
    </x:row>
    <x:row r="11">
      <x:c r="A11" s="7" t="str"/>
      <x:c r="B11" s="7" t="str"/>
      <x:c r="C11" s="7" t="str"/>
      <x:c r="D11" s="9" t="str"/>
      <x:c r="E11" s="24" t="str"/>
      <x:c r="F11" s="24" t="str"/>
      <x:c r="G11" s="25" t="str"/>
      <x:c r="H11" s="7" t="str"/>
      <x:c r="I11" s="24" t="str"/>
      <x:c r="J11" s="7" t="str"/>
      <x:c r="K11" s="7" t="str"/>
      <x:c r="L11" s="9" t="str"/>
      <x:c r="M11" s="24" t="str"/>
      <x:c r="N11" s="7" t="str"/>
    </x:row>
    <x:row r="12">
      <x:c r="A12" s="7" t="str"/>
      <x:c r="B12" s="7" t="str"/>
      <x:c r="C12" s="7" t="str"/>
      <x:c r="D12" s="9" t="str"/>
      <x:c r="E12" s="24" t="str"/>
      <x:c r="F12" s="24" t="str"/>
      <x:c r="G12" s="25" t="str"/>
      <x:c r="H12" s="7" t="str"/>
      <x:c r="I12" s="24" t="str"/>
      <x:c r="J12" s="7" t="str"/>
      <x:c r="K12" s="7" t="str"/>
      <x:c r="L12" s="9" t="str"/>
      <x:c r="M12" s="24" t="str"/>
      <x:c r="N12" s="7" t="str"/>
    </x:row>
    <x:row r="13">
      <x:c r="A13" s="7" t="str"/>
      <x:c r="B13" s="7" t="str"/>
      <x:c r="C13" s="7" t="str"/>
      <x:c r="D13" s="9" t="str"/>
      <x:c r="E13" s="24" t="str"/>
      <x:c r="F13" s="24" t="str"/>
      <x:c r="G13" s="25" t="str"/>
      <x:c r="H13" s="7" t="str"/>
      <x:c r="I13" s="24" t="str"/>
      <x:c r="J13" s="7" t="str"/>
      <x:c r="K13" s="7" t="str"/>
      <x:c r="L13" s="9" t="str"/>
      <x:c r="M13" s="24" t="str"/>
      <x:c r="N13" s="7" t="str"/>
    </x:row>
    <x:row r="14">
      <x:c r="A14" s="7" t="str"/>
      <x:c r="B14" s="7" t="str"/>
      <x:c r="C14" s="7" t="str"/>
      <x:c r="D14" s="9" t="str"/>
      <x:c r="E14" s="24" t="str"/>
      <x:c r="F14" s="24" t="str"/>
      <x:c r="G14" s="25" t="str"/>
      <x:c r="H14" s="7" t="str"/>
      <x:c r="I14" s="24" t="str"/>
      <x:c r="J14" s="7" t="str"/>
      <x:c r="K14" s="7" t="str"/>
      <x:c r="L14" s="9" t="str"/>
      <x:c r="M14" s="24" t="str"/>
      <x:c r="N14" s="7" t="str"/>
    </x:row>
    <x:row r="15">
      <x:c r="A15" s="7" t="str"/>
      <x:c r="B15" s="7" t="str"/>
      <x:c r="C15" s="7" t="str"/>
      <x:c r="D15" s="9" t="str"/>
      <x:c r="E15" s="24" t="str"/>
      <x:c r="F15" s="24" t="str"/>
      <x:c r="G15" s="25" t="str"/>
      <x:c r="H15" s="7" t="str"/>
      <x:c r="I15" s="24" t="str"/>
      <x:c r="J15" s="7" t="str"/>
      <x:c r="K15" s="7" t="str"/>
      <x:c r="L15" s="9" t="str"/>
      <x:c r="M15" s="24" t="str"/>
      <x:c r="N15" s="7" t="str"/>
    </x:row>
    <x:row r="16">
      <x:c r="A16" s="7" t="str"/>
      <x:c r="B16" s="7" t="str"/>
      <x:c r="C16" s="7" t="str"/>
      <x:c r="D16" s="9" t="str"/>
      <x:c r="E16" s="24" t="str"/>
      <x:c r="F16" s="24" t="str"/>
      <x:c r="G16" s="25" t="str"/>
      <x:c r="H16" s="7" t="str"/>
      <x:c r="I16" s="24" t="str"/>
      <x:c r="J16" s="7" t="str"/>
      <x:c r="K16" s="7" t="str"/>
      <x:c r="L16" s="9" t="str"/>
      <x:c r="M16" s="24" t="str"/>
      <x:c r="N16" s="7" t="str"/>
    </x:row>
    <x:row r="17">
      <x:c r="A17" s="7" t="str"/>
      <x:c r="B17" s="7" t="str"/>
      <x:c r="C17" s="7" t="str"/>
      <x:c r="D17" s="9" t="str"/>
      <x:c r="E17" s="24" t="str"/>
      <x:c r="F17" s="24" t="str"/>
      <x:c r="G17" s="25" t="str"/>
      <x:c r="H17" s="7" t="str"/>
      <x:c r="I17" s="24" t="str"/>
      <x:c r="J17" s="7" t="str"/>
      <x:c r="K17" s="7" t="str"/>
      <x:c r="L17" s="9" t="str"/>
      <x:c r="M17" s="24" t="str"/>
      <x:c r="N17" s="7" t="str"/>
    </x:row>
    <x:row r="18">
      <x:c r="A18" s="7" t="str"/>
      <x:c r="B18" s="7" t="str"/>
      <x:c r="C18" s="7" t="str"/>
      <x:c r="D18" s="9" t="str"/>
      <x:c r="E18" s="24" t="str"/>
      <x:c r="F18" s="24" t="str"/>
      <x:c r="G18" s="25" t="str"/>
      <x:c r="H18" s="7" t="str"/>
      <x:c r="I18" s="24" t="str"/>
      <x:c r="J18" s="7" t="str"/>
      <x:c r="K18" s="7" t="str"/>
      <x:c r="L18" s="9" t="str"/>
      <x:c r="M18" s="24" t="str"/>
      <x:c r="N18" s="7" t="str"/>
    </x:row>
    <x:row r="19">
      <x:c r="A19" s="7" t="str"/>
      <x:c r="B19" s="7" t="str"/>
      <x:c r="C19" s="7" t="str"/>
      <x:c r="D19" s="9" t="str"/>
      <x:c r="E19" s="24" t="str"/>
      <x:c r="F19" s="24" t="str"/>
      <x:c r="G19" s="25" t="str"/>
      <x:c r="H19" s="7" t="str"/>
      <x:c r="I19" s="24" t="str"/>
      <x:c r="J19" s="7" t="str"/>
      <x:c r="K19" s="7" t="str"/>
      <x:c r="L19" s="9" t="str"/>
      <x:c r="M19" s="24" t="str"/>
      <x:c r="N19" s="7" t="str"/>
    </x:row>
    <x:row r="20">
      <x:c r="A20" s="7" t="str"/>
      <x:c r="B20" s="7" t="str"/>
      <x:c r="C20" s="7" t="str"/>
      <x:c r="D20" s="9" t="str"/>
      <x:c r="E20" s="24" t="str"/>
      <x:c r="F20" s="24" t="str"/>
      <x:c r="G20" s="25" t="str"/>
      <x:c r="H20" s="7" t="str"/>
      <x:c r="I20" s="24" t="str"/>
      <x:c r="J20" s="7" t="str"/>
      <x:c r="K20" s="7" t="str"/>
      <x:c r="L20" s="9" t="str"/>
      <x:c r="M20" s="24" t="str"/>
      <x:c r="N20" s="7" t="str"/>
    </x:row>
    <x:row r="21">
      <x:c r="A21" s="7" t="str"/>
      <x:c r="B21" s="7" t="str"/>
      <x:c r="C21" s="7" t="str"/>
      <x:c r="D21" s="9" t="str"/>
      <x:c r="E21" s="24" t="str"/>
      <x:c r="F21" s="24" t="str"/>
      <x:c r="G21" s="25" t="str"/>
      <x:c r="H21" s="7" t="str"/>
      <x:c r="I21" s="24" t="str"/>
      <x:c r="J21" s="7" t="str"/>
      <x:c r="K21" s="7" t="str"/>
      <x:c r="L21" s="9" t="str"/>
      <x:c r="M21" s="24" t="str"/>
      <x:c r="N21" s="7" t="str"/>
    </x:row>
    <x:row r="22">
      <x:c r="A22" s="7" t="str"/>
      <x:c r="B22" s="7" t="str"/>
      <x:c r="C22" s="7" t="str"/>
      <x:c r="D22" s="9" t="str"/>
      <x:c r="E22" s="24" t="str"/>
      <x:c r="F22" s="24" t="str"/>
      <x:c r="G22" s="25" t="str"/>
      <x:c r="H22" s="7" t="str"/>
      <x:c r="I22" s="24" t="str"/>
      <x:c r="J22" s="7" t="str"/>
      <x:c r="K22" s="7" t="str"/>
      <x:c r="L22" s="9" t="str"/>
      <x:c r="M22" s="24" t="str"/>
      <x:c r="N22" s="7" t="str"/>
    </x:row>
    <x:row r="23">
      <x:c r="A23" s="7" t="str"/>
      <x:c r="B23" s="7" t="str"/>
      <x:c r="C23" s="7" t="str"/>
      <x:c r="D23" s="9" t="str"/>
      <x:c r="E23" s="24" t="str"/>
      <x:c r="F23" s="24" t="str"/>
      <x:c r="G23" s="25" t="str"/>
      <x:c r="H23" s="7" t="str"/>
      <x:c r="I23" s="24" t="str"/>
      <x:c r="J23" s="7" t="str"/>
      <x:c r="K23" s="7" t="str"/>
      <x:c r="L23" s="9" t="str"/>
      <x:c r="M23" s="24" t="str"/>
      <x:c r="N23" s="7" t="str"/>
    </x:row>
    <x:row r="24">
      <x:c r="A24" s="7" t="str"/>
      <x:c r="B24" s="7" t="str"/>
      <x:c r="C24" s="7" t="str"/>
      <x:c r="D24" s="9" t="str"/>
      <x:c r="E24" s="24" t="str"/>
      <x:c r="F24" s="24" t="str"/>
      <x:c r="G24" s="25" t="str"/>
      <x:c r="H24" s="7" t="str"/>
      <x:c r="I24" s="24" t="str"/>
      <x:c r="J24" s="7" t="str"/>
      <x:c r="K24" s="7" t="str"/>
      <x:c r="L24" s="9" t="str"/>
      <x:c r="M24" s="24" t="str"/>
      <x:c r="N24" s="7" t="str"/>
    </x:row>
    <x:row r="25">
      <x:c r="A25" s="7" t="str"/>
      <x:c r="B25" s="7" t="str"/>
      <x:c r="C25" s="7" t="str"/>
      <x:c r="D25" s="9" t="str"/>
      <x:c r="E25" s="24" t="str"/>
      <x:c r="F25" s="24" t="str"/>
      <x:c r="G25" s="25" t="str"/>
      <x:c r="H25" s="7" t="str"/>
      <x:c r="I25" s="24" t="str"/>
      <x:c r="J25" s="7" t="str"/>
      <x:c r="K25" s="7" t="str"/>
      <x:c r="L25" s="9" t="str"/>
      <x:c r="M25" s="24" t="str"/>
      <x:c r="N25" s="7" t="str"/>
    </x:row>
    <x:row r="26">
      <x:c r="A26" s="7" t="str"/>
      <x:c r="B26" s="7" t="str"/>
      <x:c r="C26" s="7" t="str"/>
      <x:c r="D26" s="9" t="str"/>
      <x:c r="E26" s="24" t="str"/>
      <x:c r="F26" s="24" t="str"/>
      <x:c r="G26" s="25" t="str"/>
      <x:c r="H26" s="7" t="str"/>
      <x:c r="I26" s="24" t="str"/>
      <x:c r="J26" s="7" t="str"/>
      <x:c r="K26" s="7" t="str"/>
      <x:c r="L26" s="9" t="str"/>
      <x:c r="M26" s="24" t="str"/>
      <x:c r="N26" s="7" t="str"/>
    </x:row>
    <x:row r="27">
      <x:c r="A27" s="7" t="str"/>
      <x:c r="B27" s="7" t="str"/>
      <x:c r="C27" s="7" t="str"/>
      <x:c r="D27" s="9" t="str"/>
      <x:c r="E27" s="24" t="str"/>
      <x:c r="F27" s="24" t="str"/>
      <x:c r="G27" s="25" t="str"/>
      <x:c r="H27" s="7" t="str"/>
      <x:c r="I27" s="24" t="str"/>
      <x:c r="J27" s="7" t="str"/>
      <x:c r="K27" s="7" t="str"/>
      <x:c r="L27" s="9" t="str"/>
      <x:c r="M27" s="24" t="str"/>
      <x:c r="N27" s="7" t="str"/>
    </x:row>
    <x:row r="28">
      <x:c r="A28" s="7" t="str"/>
      <x:c r="B28" s="7" t="str"/>
      <x:c r="C28" s="7" t="str"/>
      <x:c r="D28" s="9" t="str"/>
      <x:c r="E28" s="24" t="str"/>
      <x:c r="F28" s="24" t="str"/>
      <x:c r="G28" s="25" t="str"/>
      <x:c r="H28" s="7" t="str"/>
      <x:c r="I28" s="24" t="str"/>
      <x:c r="J28" s="7" t="str"/>
      <x:c r="K28" s="7" t="str"/>
      <x:c r="L28" s="9" t="str"/>
      <x:c r="M28" s="24" t="str"/>
      <x:c r="N28" s="7" t="str"/>
    </x:row>
    <x:row r="29">
      <x:c r="A29" s="7" t="str"/>
      <x:c r="B29" s="7" t="str"/>
      <x:c r="C29" s="7" t="str"/>
      <x:c r="D29" s="9" t="str"/>
      <x:c r="E29" s="24" t="str"/>
      <x:c r="F29" s="24" t="str"/>
      <x:c r="G29" s="25" t="str"/>
      <x:c r="H29" s="7" t="str"/>
      <x:c r="I29" s="24" t="str"/>
      <x:c r="J29" s="7" t="str"/>
      <x:c r="K29" s="7" t="str"/>
      <x:c r="L29" s="9" t="str"/>
      <x:c r="M29" s="24" t="str"/>
      <x:c r="N29" s="7" t="str"/>
    </x:row>
    <x:row r="30">
      <x:c r="A30" s="7" t="str"/>
      <x:c r="B30" s="7" t="str"/>
      <x:c r="C30" s="7" t="str"/>
      <x:c r="D30" s="9" t="str"/>
      <x:c r="E30" s="24" t="str"/>
      <x:c r="F30" s="24" t="str"/>
      <x:c r="G30" s="25" t="str"/>
      <x:c r="H30" s="7" t="str"/>
      <x:c r="I30" s="24" t="str"/>
      <x:c r="J30" s="7" t="str"/>
      <x:c r="K30" s="7" t="str"/>
      <x:c r="L30" s="9" t="str"/>
      <x:c r="M30" s="24" t="str"/>
      <x:c r="N30" s="7" t="str"/>
    </x:row>
    <x:row r="31">
      <x:c r="A31" s="7" t="str"/>
      <x:c r="B31" s="7" t="str"/>
      <x:c r="C31" s="7" t="str"/>
      <x:c r="D31" s="9" t="str"/>
      <x:c r="E31" s="24" t="str"/>
      <x:c r="F31" s="24" t="str"/>
      <x:c r="G31" s="25" t="str"/>
      <x:c r="H31" s="7" t="str"/>
      <x:c r="I31" s="24" t="str"/>
      <x:c r="J31" s="7" t="str"/>
      <x:c r="K31" s="7" t="str"/>
      <x:c r="L31" s="9" t="str"/>
      <x:c r="M31" s="24" t="str"/>
      <x:c r="N31" s="7" t="str"/>
    </x:row>
    <x:row r="32">
      <x:c r="A32" s="7" t="str"/>
      <x:c r="B32" s="7" t="str"/>
      <x:c r="C32" s="7" t="str"/>
      <x:c r="D32" s="9" t="str"/>
      <x:c r="E32" s="24" t="str"/>
      <x:c r="F32" s="24" t="str"/>
      <x:c r="G32" s="25" t="str"/>
      <x:c r="H32" s="7" t="str"/>
      <x:c r="I32" s="24" t="str"/>
      <x:c r="J32" s="7" t="str"/>
      <x:c r="K32" s="7" t="str"/>
      <x:c r="L32" s="9" t="str"/>
      <x:c r="M32" s="24" t="str"/>
      <x:c r="N32" s="7" t="str"/>
    </x:row>
    <x:row r="33">
      <x:c r="A33" s="7" t="str"/>
      <x:c r="B33" s="7" t="str"/>
      <x:c r="C33" s="7" t="str"/>
      <x:c r="D33" s="9" t="str"/>
      <x:c r="E33" s="24" t="str"/>
      <x:c r="F33" s="24" t="str"/>
      <x:c r="G33" s="25" t="str"/>
      <x:c r="H33" s="7" t="str"/>
      <x:c r="I33" s="24" t="str"/>
      <x:c r="J33" s="7" t="str"/>
      <x:c r="K33" s="7" t="str"/>
      <x:c r="L33" s="9" t="str"/>
      <x:c r="M33" s="24" t="str"/>
      <x:c r="N33" s="7" t="str"/>
    </x:row>
    <x:row r="34">
      <x:c r="A34" s="7" t="str"/>
      <x:c r="B34" s="7" t="str"/>
      <x:c r="C34" s="7" t="str"/>
      <x:c r="D34" s="9" t="str"/>
      <x:c r="E34" s="24" t="str"/>
      <x:c r="F34" s="24" t="str"/>
      <x:c r="G34" s="25" t="str"/>
      <x:c r="H34" s="7" t="str"/>
      <x:c r="I34" s="24" t="str"/>
      <x:c r="J34" s="7" t="str"/>
      <x:c r="K34" s="7" t="str"/>
      <x:c r="L34" s="9" t="str"/>
      <x:c r="M34" s="24" t="str"/>
      <x:c r="N34" s="7" t="str"/>
    </x:row>
    <x:row r="35">
      <x:c r="A35" s="7" t="str"/>
      <x:c r="B35" s="7" t="str"/>
      <x:c r="C35" s="7" t="str"/>
      <x:c r="D35" s="9" t="str"/>
      <x:c r="E35" s="24" t="str"/>
      <x:c r="F35" s="24" t="str"/>
      <x:c r="G35" s="25" t="str"/>
      <x:c r="H35" s="7" t="str"/>
      <x:c r="I35" s="24" t="str"/>
      <x:c r="J35" s="7" t="str"/>
      <x:c r="K35" s="7" t="str"/>
      <x:c r="L35" s="9" t="str"/>
      <x:c r="M35" s="24" t="str"/>
      <x:c r="N35" s="7" t="str"/>
    </x:row>
    <x:row r="36">
      <x:c r="A36" s="7" t="str"/>
      <x:c r="B36" s="7" t="str"/>
      <x:c r="C36" s="7" t="str"/>
      <x:c r="D36" s="9" t="str"/>
      <x:c r="E36" s="24" t="str"/>
      <x:c r="F36" s="24" t="str"/>
      <x:c r="G36" s="25" t="str"/>
      <x:c r="H36" s="7" t="str"/>
      <x:c r="I36" s="24" t="str"/>
      <x:c r="J36" s="7" t="str"/>
      <x:c r="K36" s="7" t="str"/>
      <x:c r="L36" s="9" t="str"/>
      <x:c r="M36" s="24" t="str"/>
      <x:c r="N36" s="7" t="str"/>
    </x:row>
    <x:row r="37">
      <x:c r="A37" s="7" t="str"/>
      <x:c r="B37" s="7" t="str"/>
      <x:c r="C37" s="7" t="str"/>
      <x:c r="D37" s="9" t="str"/>
      <x:c r="E37" s="24" t="str"/>
      <x:c r="F37" s="24" t="str"/>
      <x:c r="G37" s="25" t="str"/>
      <x:c r="H37" s="7" t="str"/>
      <x:c r="I37" s="24" t="str"/>
      <x:c r="J37" s="7" t="str"/>
      <x:c r="K37" s="7" t="str"/>
      <x:c r="L37" s="9" t="str"/>
      <x:c r="M37" s="24" t="str"/>
      <x:c r="N37" s="7" t="str"/>
    </x:row>
    <x:row r="38">
      <x:c r="A38" s="7" t="str"/>
      <x:c r="B38" s="7" t="str"/>
      <x:c r="C38" s="7" t="str"/>
      <x:c r="D38" s="9" t="str"/>
      <x:c r="E38" s="24" t="str"/>
      <x:c r="F38" s="24" t="str"/>
      <x:c r="G38" s="25" t="str"/>
      <x:c r="H38" s="7" t="str"/>
      <x:c r="I38" s="24" t="str"/>
      <x:c r="J38" s="7" t="str"/>
      <x:c r="K38" s="7" t="str"/>
      <x:c r="L38" s="9" t="str"/>
      <x:c r="M38" s="24" t="str"/>
      <x:c r="N38" s="7" t="str"/>
    </x:row>
    <x:row r="39">
      <x:c r="A39" s="7" t="str"/>
      <x:c r="B39" s="7" t="str"/>
      <x:c r="C39" s="7" t="str"/>
      <x:c r="D39" s="9" t="str"/>
      <x:c r="E39" s="24" t="str"/>
      <x:c r="F39" s="24" t="str"/>
      <x:c r="G39" s="25" t="str"/>
      <x:c r="H39" s="7" t="str"/>
      <x:c r="I39" s="24" t="str"/>
      <x:c r="J39" s="7" t="str"/>
      <x:c r="K39" s="7" t="str"/>
      <x:c r="L39" s="9" t="str"/>
      <x:c r="M39" s="24" t="str"/>
      <x:c r="N39" s="7" t="str"/>
    </x:row>
    <x:row r="40">
      <x:c r="A40" s="7" t="str"/>
      <x:c r="B40" s="7" t="str"/>
      <x:c r="C40" s="7" t="str"/>
      <x:c r="D40" s="9" t="str"/>
      <x:c r="E40" s="24" t="str"/>
      <x:c r="F40" s="24" t="str"/>
      <x:c r="G40" s="25" t="str"/>
      <x:c r="H40" s="7" t="str"/>
      <x:c r="I40" s="24" t="str"/>
      <x:c r="J40" s="7" t="str"/>
      <x:c r="K40" s="7" t="str"/>
      <x:c r="L40" s="9" t="str"/>
      <x:c r="M40" s="24" t="str"/>
      <x:c r="N40" s="7" t="str"/>
    </x:row>
    <x:row r="41">
      <x:c r="A41" s="7" t="str"/>
      <x:c r="B41" s="7" t="str"/>
      <x:c r="C41" s="7" t="str"/>
      <x:c r="D41" s="9" t="str"/>
      <x:c r="E41" s="24" t="str"/>
      <x:c r="F41" s="24" t="str"/>
      <x:c r="G41" s="25" t="str"/>
      <x:c r="H41" s="7" t="str"/>
      <x:c r="I41" s="24" t="str"/>
      <x:c r="J41" s="7" t="str"/>
      <x:c r="K41" s="7" t="str"/>
      <x:c r="L41" s="9" t="str"/>
      <x:c r="M41" s="24" t="str"/>
      <x:c r="N41" s="7" t="str"/>
    </x:row>
    <x:row r="42">
      <x:c r="A42" s="7" t="str"/>
      <x:c r="B42" s="7" t="str"/>
      <x:c r="C42" s="7" t="str"/>
      <x:c r="D42" s="9" t="str"/>
      <x:c r="E42" s="24" t="str"/>
      <x:c r="F42" s="24" t="str"/>
      <x:c r="G42" s="25" t="str"/>
      <x:c r="H42" s="7" t="str"/>
      <x:c r="I42" s="24" t="str"/>
      <x:c r="J42" s="7" t="str"/>
      <x:c r="K42" s="7" t="str"/>
      <x:c r="L42" s="9" t="str"/>
      <x:c r="M42" s="24" t="str"/>
      <x:c r="N42" s="7" t="str"/>
    </x:row>
    <x:row r="43">
      <x:c r="A43" s="7" t="str"/>
      <x:c r="B43" s="7" t="str"/>
      <x:c r="C43" s="7" t="str"/>
      <x:c r="D43" s="9" t="str"/>
      <x:c r="E43" s="24" t="str"/>
      <x:c r="F43" s="24" t="str"/>
      <x:c r="G43" s="25" t="str"/>
      <x:c r="H43" s="7" t="str"/>
      <x:c r="I43" s="24" t="str"/>
      <x:c r="J43" s="7" t="str"/>
      <x:c r="K43" s="7" t="str"/>
      <x:c r="L43" s="9" t="str"/>
      <x:c r="M43" s="24" t="str"/>
      <x:c r="N43" s="7" t="str"/>
    </x:row>
    <x:row r="44">
      <x:c r="A44" s="7" t="str"/>
      <x:c r="B44" s="7" t="str"/>
      <x:c r="C44" s="7" t="str"/>
      <x:c r="D44" s="9" t="str"/>
      <x:c r="E44" s="24" t="str"/>
      <x:c r="F44" s="24" t="str"/>
      <x:c r="G44" s="25" t="str"/>
      <x:c r="H44" s="7" t="str"/>
      <x:c r="I44" s="24" t="str"/>
      <x:c r="J44" s="7" t="str"/>
      <x:c r="K44" s="7" t="str"/>
      <x:c r="L44" s="9" t="str"/>
      <x:c r="M44" s="24" t="str"/>
      <x:c r="N44" s="7" t="str"/>
    </x:row>
    <x:row r="45">
      <x:c r="A45" s="7" t="str"/>
      <x:c r="B45" s="7" t="str"/>
      <x:c r="C45" s="7" t="str"/>
      <x:c r="D45" s="9" t="str"/>
      <x:c r="E45" s="24" t="str"/>
      <x:c r="F45" s="24" t="str"/>
      <x:c r="G45" s="25" t="str"/>
      <x:c r="H45" s="7" t="str"/>
      <x:c r="I45" s="24" t="str"/>
      <x:c r="J45" s="7" t="str"/>
      <x:c r="K45" s="7" t="str"/>
      <x:c r="L45" s="9" t="str"/>
      <x:c r="M45" s="24" t="str"/>
      <x:c r="N45" s="7" t="str"/>
    </x:row>
    <x:row r="46">
      <x:c r="A46" s="7" t="str"/>
      <x:c r="B46" s="7" t="str"/>
      <x:c r="C46" s="7" t="str"/>
      <x:c r="D46" s="9" t="str"/>
      <x:c r="E46" s="24" t="str"/>
      <x:c r="F46" s="24" t="str"/>
      <x:c r="G46" s="25" t="str"/>
      <x:c r="H46" s="7" t="str"/>
      <x:c r="I46" s="24" t="str"/>
      <x:c r="J46" s="7" t="str"/>
      <x:c r="K46" s="7" t="str"/>
      <x:c r="L46" s="9" t="str"/>
      <x:c r="M46" s="24" t="str"/>
      <x:c r="N46" s="7" t="str"/>
    </x:row>
    <x:row r="47">
      <x:c r="A47" s="7" t="str"/>
      <x:c r="B47" s="7" t="str"/>
      <x:c r="C47" s="7" t="str"/>
      <x:c r="D47" s="9" t="str"/>
      <x:c r="E47" s="24" t="str"/>
      <x:c r="F47" s="24" t="str"/>
      <x:c r="G47" s="25" t="str"/>
      <x:c r="H47" s="7" t="str"/>
      <x:c r="I47" s="24" t="str"/>
      <x:c r="J47" s="7" t="str"/>
      <x:c r="K47" s="7" t="str"/>
      <x:c r="L47" s="9" t="str"/>
      <x:c r="M47" s="24" t="str"/>
      <x:c r="N47" s="7" t="str"/>
    </x:row>
    <x:row r="48">
      <x:c r="A48" s="7" t="str"/>
      <x:c r="B48" s="7" t="str"/>
      <x:c r="C48" s="7" t="str"/>
      <x:c r="D48" s="9" t="str"/>
      <x:c r="E48" s="24" t="str"/>
      <x:c r="F48" s="24" t="str"/>
      <x:c r="G48" s="25" t="str"/>
      <x:c r="H48" s="7" t="str"/>
      <x:c r="I48" s="24" t="str"/>
      <x:c r="J48" s="7" t="str"/>
      <x:c r="K48" s="7" t="str"/>
      <x:c r="L48" s="9" t="str"/>
      <x:c r="M48" s="24" t="str"/>
      <x:c r="N48" s="7" t="str"/>
    </x:row>
    <x:row r="49">
      <x:c r="A49" s="7" t="str"/>
      <x:c r="B49" s="7" t="str"/>
      <x:c r="C49" s="7" t="str"/>
      <x:c r="D49" s="9" t="str"/>
      <x:c r="E49" s="24" t="str"/>
      <x:c r="F49" s="24" t="str"/>
      <x:c r="G49" s="25" t="str"/>
      <x:c r="H49" s="7" t="str"/>
      <x:c r="I49" s="24" t="str"/>
      <x:c r="J49" s="7" t="str"/>
      <x:c r="K49" s="7" t="str"/>
      <x:c r="L49" s="9" t="str"/>
      <x:c r="M49" s="24" t="str"/>
      <x:c r="N49" s="7" t="str"/>
    </x:row>
    <x:row r="50">
      <x:c r="A50" s="7" t="str"/>
      <x:c r="B50" s="7" t="str"/>
      <x:c r="C50" s="7" t="str"/>
      <x:c r="D50" s="9" t="str"/>
      <x:c r="E50" s="24" t="str"/>
      <x:c r="F50" s="24" t="str"/>
      <x:c r="G50" s="25" t="str"/>
      <x:c r="H50" s="7" t="str"/>
      <x:c r="I50" s="24" t="str"/>
      <x:c r="J50" s="7" t="str"/>
      <x:c r="K50" s="7" t="str"/>
      <x:c r="L50" s="9" t="str"/>
      <x:c r="M50" s="24" t="str"/>
      <x:c r="N50" s="7" t="str"/>
    </x:row>
    <x:row r="51">
      <x:c r="A51" s="7" t="str"/>
      <x:c r="B51" s="7" t="str"/>
      <x:c r="C51" s="7" t="str"/>
      <x:c r="D51" s="9" t="str"/>
      <x:c r="E51" s="24" t="str"/>
      <x:c r="F51" s="24" t="str"/>
      <x:c r="G51" s="25" t="str"/>
      <x:c r="H51" s="7" t="str"/>
      <x:c r="I51" s="24" t="str"/>
      <x:c r="J51" s="7" t="str"/>
      <x:c r="K51" s="7" t="str"/>
      <x:c r="L51" s="9" t="str"/>
      <x:c r="M51" s="24" t="str"/>
      <x:c r="N51" s="7" t="str"/>
    </x:row>
    <x:row r="52">
      <x:c r="A52" s="7" t="str"/>
      <x:c r="B52" s="7" t="str"/>
      <x:c r="C52" s="7" t="str"/>
      <x:c r="D52" s="9" t="str"/>
      <x:c r="E52" s="24" t="str"/>
      <x:c r="F52" s="24" t="str"/>
      <x:c r="G52" s="25" t="str"/>
      <x:c r="H52" s="7" t="str"/>
      <x:c r="I52" s="24" t="str"/>
      <x:c r="J52" s="7" t="str"/>
      <x:c r="K52" s="7" t="str"/>
      <x:c r="L52" s="9" t="str"/>
      <x:c r="M52" s="24" t="str"/>
      <x:c r="N52" s="7" t="str"/>
    </x:row>
    <x:row r="53">
      <x:c r="A53" s="7" t="str"/>
      <x:c r="B53" s="7" t="str"/>
      <x:c r="C53" s="7" t="str"/>
      <x:c r="D53" s="9" t="str"/>
      <x:c r="E53" s="24" t="str"/>
      <x:c r="F53" s="24" t="str"/>
      <x:c r="G53" s="25" t="str"/>
      <x:c r="H53" s="7" t="str"/>
      <x:c r="I53" s="24" t="str"/>
      <x:c r="J53" s="7" t="str"/>
      <x:c r="K53" s="7" t="str"/>
      <x:c r="L53" s="9" t="str"/>
      <x:c r="M53" s="24" t="str"/>
      <x:c r="N53" s="7" t="str"/>
    </x:row>
    <x:row r="54">
      <x:c r="A54" s="7" t="str"/>
      <x:c r="B54" s="7" t="str"/>
      <x:c r="C54" s="7" t="str"/>
      <x:c r="D54" s="9" t="str"/>
      <x:c r="E54" s="24" t="str"/>
      <x:c r="F54" s="24" t="str"/>
      <x:c r="G54" s="25" t="str"/>
      <x:c r="H54" s="7" t="str"/>
      <x:c r="I54" s="24" t="str"/>
      <x:c r="J54" s="7" t="str"/>
      <x:c r="K54" s="7" t="str"/>
      <x:c r="L54" s="9" t="str"/>
      <x:c r="M54" s="24" t="str"/>
      <x:c r="N54" s="7" t="str"/>
    </x:row>
    <x:row r="55">
      <x:c r="A55" s="7" t="str"/>
      <x:c r="B55" s="7" t="str"/>
      <x:c r="C55" s="7" t="str"/>
      <x:c r="D55" s="9" t="str"/>
      <x:c r="E55" s="24" t="str"/>
      <x:c r="F55" s="24" t="str"/>
      <x:c r="G55" s="25" t="str"/>
      <x:c r="H55" s="7" t="str"/>
      <x:c r="I55" s="24" t="str"/>
      <x:c r="J55" s="7" t="str"/>
      <x:c r="K55" s="7" t="str"/>
      <x:c r="L55" s="9" t="str"/>
      <x:c r="M55" s="24" t="str"/>
      <x:c r="N55" s="7" t="str"/>
    </x:row>
    <x:row r="56">
      <x:c r="A56" s="7" t="str"/>
      <x:c r="B56" s="7" t="str"/>
      <x:c r="C56" s="7" t="str"/>
      <x:c r="D56" s="9" t="str"/>
      <x:c r="E56" s="24" t="str"/>
      <x:c r="F56" s="24" t="str"/>
      <x:c r="G56" s="25" t="str"/>
      <x:c r="H56" s="7" t="str"/>
      <x:c r="I56" s="24" t="str"/>
      <x:c r="J56" s="7" t="str"/>
      <x:c r="K56" s="7" t="str"/>
      <x:c r="L56" s="9" t="str"/>
      <x:c r="M56" s="24" t="str"/>
      <x:c r="N56" s="7" t="str"/>
    </x:row>
    <x:row r="57">
      <x:c r="A57" s="7" t="str"/>
      <x:c r="B57" s="7" t="str"/>
      <x:c r="C57" s="7" t="str"/>
      <x:c r="D57" s="9" t="str"/>
      <x:c r="E57" s="24" t="str"/>
      <x:c r="F57" s="24" t="str"/>
      <x:c r="G57" s="25" t="str"/>
      <x:c r="H57" s="7" t="str"/>
      <x:c r="I57" s="24" t="str"/>
      <x:c r="J57" s="7" t="str"/>
      <x:c r="K57" s="7" t="str"/>
      <x:c r="L57" s="9" t="str"/>
      <x:c r="M57" s="24" t="str"/>
      <x:c r="N57" s="7" t="str"/>
    </x:row>
    <x:row r="58">
      <x:c r="A58" s="7" t="str"/>
      <x:c r="B58" s="7" t="str"/>
      <x:c r="C58" s="7" t="str"/>
      <x:c r="D58" s="9" t="str"/>
      <x:c r="E58" s="24" t="str"/>
      <x:c r="F58" s="24" t="str"/>
      <x:c r="G58" s="25" t="str"/>
      <x:c r="H58" s="7" t="str"/>
      <x:c r="I58" s="24" t="str"/>
      <x:c r="J58" s="7" t="str"/>
      <x:c r="K58" s="7" t="str"/>
      <x:c r="L58" s="9" t="str"/>
      <x:c r="M58" s="24" t="str"/>
      <x:c r="N58" s="7" t="str"/>
    </x:row>
    <x:row r="59">
      <x:c r="A59" s="7" t="str"/>
      <x:c r="B59" s="7" t="str"/>
      <x:c r="C59" s="7" t="str"/>
      <x:c r="D59" s="9" t="str"/>
      <x:c r="E59" s="24" t="str"/>
      <x:c r="F59" s="24" t="str"/>
      <x:c r="G59" s="25" t="str"/>
      <x:c r="H59" s="7" t="str"/>
      <x:c r="I59" s="24" t="str"/>
      <x:c r="J59" s="7" t="str"/>
      <x:c r="K59" s="7" t="str"/>
      <x:c r="L59" s="9" t="str"/>
      <x:c r="M59" s="24" t="str"/>
      <x:c r="N59" s="7" t="str"/>
    </x:row>
    <x:row r="60">
      <x:c r="A60" s="7" t="str"/>
      <x:c r="B60" s="7" t="str"/>
      <x:c r="C60" s="7" t="str"/>
      <x:c r="D60" s="9" t="str"/>
      <x:c r="E60" s="24" t="str"/>
      <x:c r="F60" s="24" t="str"/>
      <x:c r="G60" s="25" t="str"/>
      <x:c r="H60" s="7" t="str"/>
      <x:c r="I60" s="24" t="str"/>
      <x:c r="J60" s="7" t="str"/>
      <x:c r="K60" s="7" t="str"/>
      <x:c r="L60" s="9" t="str"/>
      <x:c r="M60" s="24" t="str"/>
      <x:c r="N60" s="7" t="str"/>
    </x:row>
    <x:row r="61">
      <x:c r="A61" s="7" t="str"/>
      <x:c r="B61" s="7" t="str"/>
      <x:c r="C61" s="7" t="str"/>
      <x:c r="D61" s="9" t="str"/>
      <x:c r="E61" s="24" t="str"/>
      <x:c r="F61" s="24" t="str"/>
      <x:c r="G61" s="25" t="str"/>
      <x:c r="H61" s="7" t="str"/>
      <x:c r="I61" s="24" t="str"/>
      <x:c r="J61" s="7" t="str"/>
      <x:c r="K61" s="7" t="str"/>
      <x:c r="L61" s="9" t="str"/>
      <x:c r="M61" s="24" t="str"/>
      <x:c r="N61" s="7" t="str"/>
    </x:row>
    <x:row r="62">
      <x:c r="A62" s="7" t="str"/>
      <x:c r="B62" s="7" t="str"/>
      <x:c r="C62" s="7" t="str"/>
      <x:c r="D62" s="9" t="str"/>
      <x:c r="E62" s="24" t="str"/>
      <x:c r="F62" s="24" t="str"/>
      <x:c r="G62" s="25" t="str"/>
      <x:c r="H62" s="7" t="str"/>
      <x:c r="I62" s="24" t="str"/>
      <x:c r="J62" s="7" t="str"/>
      <x:c r="K62" s="7" t="str"/>
      <x:c r="L62" s="9" t="str"/>
      <x:c r="M62" s="24" t="str"/>
      <x:c r="N62" s="7" t="str"/>
    </x:row>
    <x:row r="63">
      <x:c r="A63" s="7" t="str"/>
      <x:c r="B63" s="7" t="str"/>
      <x:c r="C63" s="7" t="str"/>
      <x:c r="D63" s="9" t="str"/>
      <x:c r="E63" s="24" t="str"/>
      <x:c r="F63" s="24" t="str"/>
      <x:c r="G63" s="25" t="str"/>
      <x:c r="H63" s="7" t="str"/>
      <x:c r="I63" s="24" t="str"/>
      <x:c r="J63" s="7" t="str"/>
      <x:c r="K63" s="7" t="str"/>
      <x:c r="L63" s="9" t="str"/>
      <x:c r="M63" s="24" t="str"/>
      <x:c r="N63" s="7" t="str"/>
    </x:row>
    <x:row r="64">
      <x:c r="A64" s="7" t="str"/>
      <x:c r="B64" s="7" t="str"/>
      <x:c r="C64" s="7" t="str"/>
      <x:c r="D64" s="9" t="str"/>
      <x:c r="E64" s="24" t="str"/>
      <x:c r="F64" s="24" t="str"/>
      <x:c r="G64" s="25" t="str"/>
      <x:c r="H64" s="7" t="str"/>
      <x:c r="I64" s="24" t="str"/>
      <x:c r="J64" s="7" t="str"/>
      <x:c r="K64" s="7" t="str"/>
      <x:c r="L64" s="9" t="str"/>
      <x:c r="M64" s="24" t="str"/>
      <x:c r="N64" s="7" t="str"/>
    </x:row>
    <x:row r="65">
      <x:c r="A65" s="7" t="str"/>
      <x:c r="B65" s="7" t="str"/>
      <x:c r="C65" s="7" t="str"/>
      <x:c r="D65" s="9" t="str"/>
      <x:c r="E65" s="24" t="str"/>
      <x:c r="F65" s="24" t="str"/>
      <x:c r="G65" s="25" t="str"/>
      <x:c r="H65" s="7" t="str"/>
      <x:c r="I65" s="24" t="str"/>
      <x:c r="J65" s="7" t="str"/>
      <x:c r="K65" s="7" t="str"/>
      <x:c r="L65" s="9" t="str"/>
      <x:c r="M65" s="24" t="str"/>
      <x:c r="N65" s="7" t="str"/>
    </x:row>
    <x:row r="66">
      <x:c r="A66" s="7" t="str"/>
      <x:c r="B66" s="7" t="str"/>
      <x:c r="C66" s="7" t="str"/>
      <x:c r="D66" s="9" t="str"/>
      <x:c r="E66" s="24" t="str"/>
      <x:c r="F66" s="24" t="str"/>
      <x:c r="G66" s="25" t="str"/>
      <x:c r="H66" s="7" t="str"/>
      <x:c r="I66" s="24" t="str"/>
      <x:c r="J66" s="7" t="str"/>
      <x:c r="K66" s="7" t="str"/>
      <x:c r="L66" s="9" t="str"/>
      <x:c r="M66" s="24" t="str"/>
      <x:c r="N66" s="7" t="str"/>
    </x:row>
    <x:row r="67">
      <x:c r="A67" s="7" t="str"/>
      <x:c r="B67" s="7" t="str"/>
      <x:c r="C67" s="7" t="str"/>
      <x:c r="D67" s="9" t="str"/>
      <x:c r="E67" s="24" t="str"/>
      <x:c r="F67" s="24" t="str"/>
      <x:c r="G67" s="25" t="str"/>
      <x:c r="H67" s="7" t="str"/>
      <x:c r="I67" s="24" t="str"/>
      <x:c r="J67" s="7" t="str"/>
      <x:c r="K67" s="7" t="str"/>
      <x:c r="L67" s="9" t="str"/>
      <x:c r="M67" s="24" t="str"/>
      <x:c r="N67" s="7" t="str"/>
    </x:row>
    <x:row r="68">
      <x:c r="A68" s="7" t="str"/>
      <x:c r="B68" s="7" t="str"/>
      <x:c r="C68" s="7" t="str"/>
      <x:c r="D68" s="9" t="str"/>
      <x:c r="E68" s="24" t="str"/>
      <x:c r="F68" s="24" t="str"/>
      <x:c r="G68" s="25" t="str"/>
      <x:c r="H68" s="7" t="str"/>
      <x:c r="I68" s="24" t="str"/>
      <x:c r="J68" s="7" t="str"/>
      <x:c r="K68" s="7" t="str"/>
      <x:c r="L68" s="9" t="str"/>
      <x:c r="M68" s="24" t="str"/>
      <x:c r="N68" s="7" t="str"/>
    </x:row>
    <x:row r="69">
      <x:c r="A69" s="7" t="str"/>
      <x:c r="B69" s="7" t="str"/>
      <x:c r="C69" s="7" t="str"/>
      <x:c r="D69" s="9" t="str"/>
      <x:c r="E69" s="24" t="str"/>
      <x:c r="F69" s="24" t="str"/>
      <x:c r="G69" s="25" t="str"/>
      <x:c r="H69" s="7" t="str"/>
      <x:c r="I69" s="24" t="str"/>
      <x:c r="J69" s="7" t="str"/>
      <x:c r="K69" s="7" t="str"/>
      <x:c r="L69" s="9" t="str"/>
      <x:c r="M69" s="24" t="str"/>
      <x:c r="N69" s="7" t="str"/>
    </x:row>
    <x:row r="70">
      <x:c r="A70" s="7" t="str"/>
      <x:c r="B70" s="7" t="str"/>
      <x:c r="C70" s="7" t="str"/>
      <x:c r="D70" s="9" t="str"/>
      <x:c r="E70" s="24" t="str"/>
      <x:c r="F70" s="24" t="str"/>
      <x:c r="G70" s="25" t="str"/>
      <x:c r="H70" s="7" t="str"/>
      <x:c r="I70" s="24" t="str"/>
      <x:c r="J70" s="7" t="str"/>
      <x:c r="K70" s="7" t="str"/>
      <x:c r="L70" s="9" t="str"/>
      <x:c r="M70" s="24" t="str"/>
      <x:c r="N70" s="7" t="str"/>
    </x:row>
    <x:row r="71">
      <x:c r="A71" s="7" t="str"/>
      <x:c r="B71" s="7" t="str"/>
      <x:c r="C71" s="7" t="str"/>
      <x:c r="D71" s="9" t="str"/>
      <x:c r="E71" s="24" t="str"/>
      <x:c r="F71" s="24" t="str"/>
      <x:c r="G71" s="25" t="str"/>
      <x:c r="H71" s="7" t="str"/>
      <x:c r="I71" s="24" t="str"/>
      <x:c r="J71" s="7" t="str"/>
      <x:c r="K71" s="7" t="str"/>
      <x:c r="L71" s="9" t="str"/>
      <x:c r="M71" s="24" t="str"/>
      <x:c r="N71" s="7" t="str"/>
    </x:row>
    <x:row r="72">
      <x:c r="A72" s="7" t="str"/>
      <x:c r="B72" s="7" t="str"/>
      <x:c r="C72" s="7" t="str"/>
      <x:c r="D72" s="9" t="str"/>
      <x:c r="E72" s="24" t="str"/>
      <x:c r="F72" s="24" t="str"/>
      <x:c r="G72" s="25" t="str"/>
      <x:c r="H72" s="7" t="str"/>
      <x:c r="I72" s="24" t="str"/>
      <x:c r="J72" s="7" t="str"/>
      <x:c r="K72" s="7" t="str"/>
      <x:c r="L72" s="9" t="str"/>
      <x:c r="M72" s="24" t="str"/>
      <x:c r="N72" s="7" t="str"/>
    </x:row>
    <x:row r="73">
      <x:c r="A73" s="7" t="str"/>
      <x:c r="B73" s="7" t="str"/>
      <x:c r="C73" s="7" t="str"/>
      <x:c r="D73" s="9" t="str"/>
      <x:c r="E73" s="24" t="str"/>
      <x:c r="F73" s="24" t="str"/>
      <x:c r="G73" s="25" t="str"/>
      <x:c r="H73" s="7" t="str"/>
      <x:c r="I73" s="24" t="str"/>
      <x:c r="J73" s="7" t="str"/>
      <x:c r="K73" s="7" t="str"/>
      <x:c r="L73" s="9" t="str"/>
      <x:c r="M73" s="24" t="str"/>
      <x:c r="N73" s="7" t="str"/>
    </x:row>
    <x:row r="74">
      <x:c r="A74" s="7" t="str"/>
      <x:c r="B74" s="7" t="str"/>
      <x:c r="C74" s="7" t="str"/>
      <x:c r="D74" s="9" t="str"/>
      <x:c r="E74" s="24" t="str"/>
      <x:c r="F74" s="24" t="str"/>
      <x:c r="G74" s="25" t="str"/>
      <x:c r="H74" s="7" t="str"/>
      <x:c r="I74" s="24" t="str"/>
      <x:c r="J74" s="7" t="str"/>
      <x:c r="K74" s="7" t="str"/>
      <x:c r="L74" s="9" t="str"/>
      <x:c r="M74" s="24" t="str"/>
      <x:c r="N74" s="7" t="str"/>
    </x:row>
    <x:row r="75">
      <x:c r="A75" s="7" t="str"/>
      <x:c r="B75" s="7" t="str"/>
      <x:c r="C75" s="7" t="str"/>
      <x:c r="D75" s="9" t="str"/>
      <x:c r="E75" s="24" t="str"/>
      <x:c r="F75" s="24" t="str"/>
      <x:c r="G75" s="25" t="str"/>
      <x:c r="H75" s="7" t="str"/>
      <x:c r="I75" s="24" t="str"/>
      <x:c r="J75" s="7" t="str"/>
      <x:c r="K75" s="7" t="str"/>
      <x:c r="L75" s="9" t="str"/>
      <x:c r="M75" s="24" t="str"/>
      <x:c r="N75" s="7" t="str"/>
    </x:row>
    <x:row r="76">
      <x:c r="A76" s="7" t="str"/>
      <x:c r="B76" s="7" t="str"/>
      <x:c r="C76" s="7" t="str"/>
      <x:c r="D76" s="9" t="str"/>
      <x:c r="E76" s="24" t="str"/>
      <x:c r="F76" s="24" t="str"/>
      <x:c r="G76" s="25" t="str"/>
      <x:c r="H76" s="7" t="str"/>
      <x:c r="I76" s="24" t="str"/>
      <x:c r="J76" s="7" t="str"/>
      <x:c r="K76" s="7" t="str"/>
      <x:c r="L76" s="9" t="str"/>
      <x:c r="M76" s="24" t="str"/>
      <x:c r="N76" s="7" t="str"/>
    </x:row>
    <x:row r="77">
      <x:c r="A77" s="7" t="str"/>
      <x:c r="B77" s="7" t="str"/>
      <x:c r="C77" s="7" t="str"/>
      <x:c r="D77" s="9" t="str"/>
      <x:c r="E77" s="24" t="str"/>
      <x:c r="F77" s="24" t="str"/>
      <x:c r="G77" s="25" t="str"/>
      <x:c r="H77" s="7" t="str"/>
      <x:c r="I77" s="24" t="str"/>
      <x:c r="J77" s="7" t="str"/>
      <x:c r="K77" s="7" t="str"/>
      <x:c r="L77" s="9" t="str"/>
      <x:c r="M77" s="24" t="str"/>
      <x:c r="N77" s="7" t="str"/>
    </x:row>
    <x:row r="78">
      <x:c r="A78" s="7" t="str"/>
      <x:c r="B78" s="7" t="str"/>
      <x:c r="C78" s="7" t="str"/>
      <x:c r="D78" s="9" t="str"/>
      <x:c r="E78" s="24" t="str"/>
      <x:c r="F78" s="24" t="str"/>
      <x:c r="G78" s="25" t="str"/>
      <x:c r="H78" s="7" t="str"/>
      <x:c r="I78" s="24" t="str"/>
      <x:c r="J78" s="7" t="str"/>
      <x:c r="K78" s="7" t="str"/>
      <x:c r="L78" s="9" t="str"/>
      <x:c r="M78" s="24" t="str"/>
      <x:c r="N78" s="7" t="str"/>
    </x:row>
    <x:row r="79">
      <x:c r="A79" s="7" t="str"/>
      <x:c r="B79" s="7" t="str"/>
      <x:c r="C79" s="7" t="str"/>
      <x:c r="D79" s="9" t="str"/>
      <x:c r="E79" s="24" t="str"/>
      <x:c r="F79" s="24" t="str"/>
      <x:c r="G79" s="25" t="str"/>
      <x:c r="H79" s="7" t="str"/>
      <x:c r="I79" s="24" t="str"/>
      <x:c r="J79" s="7" t="str"/>
      <x:c r="K79" s="7" t="str"/>
      <x:c r="L79" s="9" t="str"/>
      <x:c r="M79" s="24" t="str"/>
      <x:c r="N79" s="7" t="str"/>
    </x:row>
    <x:row r="80">
      <x:c r="A80" s="7" t="str"/>
      <x:c r="B80" s="7" t="str"/>
      <x:c r="C80" s="7" t="str"/>
      <x:c r="D80" s="9" t="str"/>
      <x:c r="E80" s="24" t="str"/>
      <x:c r="F80" s="24" t="str"/>
      <x:c r="G80" s="25" t="str"/>
      <x:c r="H80" s="7" t="str"/>
      <x:c r="I80" s="24" t="str"/>
      <x:c r="J80" s="7" t="str"/>
      <x:c r="K80" s="7" t="str"/>
      <x:c r="L80" s="9" t="str"/>
      <x:c r="M80" s="24" t="str"/>
      <x:c r="N80" s="7" t="str"/>
    </x:row>
    <x:row r="81">
      <x:c r="A81" s="7" t="str"/>
      <x:c r="B81" s="7" t="str"/>
      <x:c r="C81" s="7" t="str"/>
      <x:c r="D81" s="9" t="str"/>
      <x:c r="E81" s="24" t="str"/>
      <x:c r="F81" s="24" t="str"/>
      <x:c r="G81" s="25" t="str"/>
      <x:c r="H81" s="7" t="str"/>
      <x:c r="I81" s="24" t="str"/>
      <x:c r="J81" s="7" t="str"/>
      <x:c r="K81" s="7" t="str"/>
      <x:c r="L81" s="9" t="str"/>
      <x:c r="M81" s="24" t="str"/>
      <x:c r="N81" s="7" t="str"/>
    </x:row>
    <x:row r="82">
      <x:c r="A82" s="7" t="str"/>
      <x:c r="B82" s="7" t="str"/>
      <x:c r="C82" s="7" t="str"/>
      <x:c r="D82" s="9" t="str"/>
      <x:c r="E82" s="24" t="str"/>
      <x:c r="F82" s="24" t="str"/>
      <x:c r="G82" s="25" t="str"/>
      <x:c r="H82" s="7" t="str"/>
      <x:c r="I82" s="24" t="str"/>
      <x:c r="J82" s="7" t="str"/>
      <x:c r="K82" s="7" t="str"/>
      <x:c r="L82" s="9" t="str"/>
      <x:c r="M82" s="24" t="str"/>
      <x:c r="N82" s="7" t="str"/>
    </x:row>
    <x:row r="83">
      <x:c r="A83" s="7" t="str"/>
      <x:c r="B83" s="7" t="str"/>
      <x:c r="C83" s="7" t="str"/>
      <x:c r="D83" s="9" t="str"/>
      <x:c r="E83" s="24" t="str"/>
      <x:c r="F83" s="24" t="str"/>
      <x:c r="G83" s="25" t="str"/>
      <x:c r="H83" s="7" t="str"/>
      <x:c r="I83" s="24" t="str"/>
      <x:c r="J83" s="7" t="str"/>
      <x:c r="K83" s="7" t="str"/>
      <x:c r="L83" s="9" t="str"/>
      <x:c r="M83" s="24" t="str"/>
      <x:c r="N83" s="7" t="str"/>
    </x:row>
    <x:row r="84">
      <x:c r="A84" s="7" t="str"/>
      <x:c r="B84" s="7" t="str"/>
      <x:c r="C84" s="7" t="str"/>
      <x:c r="D84" s="9" t="str"/>
      <x:c r="E84" s="24" t="str"/>
      <x:c r="F84" s="24" t="str"/>
      <x:c r="G84" s="25" t="str"/>
      <x:c r="H84" s="7" t="str"/>
      <x:c r="I84" s="24" t="str"/>
      <x:c r="J84" s="7" t="str"/>
      <x:c r="K84" s="7" t="str"/>
      <x:c r="L84" s="9" t="str"/>
      <x:c r="M84" s="24" t="str"/>
      <x:c r="N84" s="7" t="str"/>
    </x:row>
    <x:row r="85">
      <x:c r="A85" s="7" t="str"/>
      <x:c r="B85" s="7" t="str"/>
      <x:c r="C85" s="7" t="str"/>
      <x:c r="D85" s="9" t="str"/>
      <x:c r="E85" s="24" t="str"/>
      <x:c r="F85" s="24" t="str"/>
      <x:c r="G85" s="25" t="str"/>
      <x:c r="H85" s="7" t="str"/>
      <x:c r="I85" s="24" t="str"/>
      <x:c r="J85" s="7" t="str"/>
      <x:c r="K85" s="7" t="str"/>
      <x:c r="L85" s="9" t="str"/>
      <x:c r="M85" s="24" t="str"/>
      <x:c r="N85" s="7" t="str"/>
    </x:row>
    <x:row r="86">
      <x:c r="A86" s="7" t="str"/>
      <x:c r="B86" s="7" t="str"/>
      <x:c r="C86" s="7" t="str"/>
      <x:c r="D86" s="9" t="str"/>
      <x:c r="E86" s="24" t="str"/>
      <x:c r="F86" s="24" t="str"/>
      <x:c r="G86" s="25" t="str"/>
      <x:c r="H86" s="7" t="str"/>
      <x:c r="I86" s="24" t="str"/>
      <x:c r="J86" s="7" t="str"/>
      <x:c r="K86" s="7" t="str"/>
      <x:c r="L86" s="9" t="str"/>
      <x:c r="M86" s="24" t="str"/>
      <x:c r="N86" s="7" t="str"/>
    </x:row>
    <x:row r="87">
      <x:c r="A87" s="7" t="str"/>
      <x:c r="B87" s="7" t="str"/>
      <x:c r="C87" s="7" t="str"/>
      <x:c r="D87" s="9" t="str"/>
      <x:c r="E87" s="24" t="str"/>
      <x:c r="F87" s="24" t="str"/>
      <x:c r="G87" s="25" t="str"/>
      <x:c r="H87" s="7" t="str"/>
      <x:c r="I87" s="24" t="str"/>
      <x:c r="J87" s="7" t="str"/>
      <x:c r="K87" s="7" t="str"/>
      <x:c r="L87" s="9" t="str"/>
      <x:c r="M87" s="24" t="str"/>
      <x:c r="N87" s="7" t="str"/>
    </x:row>
    <x:row r="88">
      <x:c r="A88" s="7" t="str"/>
      <x:c r="B88" s="7" t="str"/>
      <x:c r="C88" s="7" t="str"/>
      <x:c r="D88" s="9" t="str"/>
      <x:c r="E88" s="24" t="str"/>
      <x:c r="F88" s="24" t="str"/>
      <x:c r="G88" s="25" t="str"/>
      <x:c r="H88" s="7" t="str"/>
      <x:c r="I88" s="24" t="str"/>
      <x:c r="J88" s="7" t="str"/>
      <x:c r="K88" s="7" t="str"/>
      <x:c r="L88" s="9" t="str"/>
      <x:c r="M88" s="24" t="str"/>
      <x:c r="N88" s="7" t="str"/>
    </x:row>
    <x:row r="89">
      <x:c r="A89" s="7" t="str"/>
      <x:c r="B89" s="7" t="str"/>
      <x:c r="C89" s="7" t="str"/>
      <x:c r="D89" s="9" t="str"/>
      <x:c r="E89" s="24" t="str"/>
      <x:c r="F89" s="24" t="str"/>
      <x:c r="G89" s="25" t="str"/>
      <x:c r="H89" s="7" t="str"/>
      <x:c r="I89" s="24" t="str"/>
      <x:c r="J89" s="7" t="str"/>
      <x:c r="K89" s="7" t="str"/>
      <x:c r="L89" s="9" t="str"/>
      <x:c r="M89" s="24" t="str"/>
      <x:c r="N89" s="7" t="str"/>
    </x:row>
    <x:row r="90">
      <x:c r="A90" s="7" t="str"/>
      <x:c r="B90" s="7" t="str"/>
      <x:c r="C90" s="7" t="str"/>
      <x:c r="D90" s="9" t="str"/>
      <x:c r="E90" s="24" t="str"/>
      <x:c r="F90" s="24" t="str"/>
      <x:c r="G90" s="25" t="str"/>
      <x:c r="H90" s="7" t="str"/>
      <x:c r="I90" s="24" t="str"/>
      <x:c r="J90" s="7" t="str"/>
      <x:c r="K90" s="7" t="str"/>
      <x:c r="L90" s="9" t="str"/>
      <x:c r="M90" s="24" t="str"/>
      <x:c r="N90" s="7" t="str"/>
    </x:row>
    <x:row r="91">
      <x:c r="A91" s="7" t="str"/>
      <x:c r="B91" s="7" t="str"/>
      <x:c r="C91" s="7" t="str"/>
      <x:c r="D91" s="9" t="str"/>
      <x:c r="E91" s="24" t="str"/>
      <x:c r="F91" s="24" t="str"/>
      <x:c r="G91" s="25" t="str"/>
      <x:c r="H91" s="7" t="str"/>
      <x:c r="I91" s="24" t="str"/>
      <x:c r="J91" s="7" t="str"/>
      <x:c r="K91" s="7" t="str"/>
      <x:c r="L91" s="9" t="str"/>
      <x:c r="M91" s="24" t="str"/>
      <x:c r="N91" s="7" t="str"/>
    </x:row>
    <x:row r="92">
      <x:c r="A92" s="7" t="str"/>
      <x:c r="B92" s="7" t="str"/>
      <x:c r="C92" s="7" t="str"/>
      <x:c r="D92" s="9" t="str"/>
      <x:c r="E92" s="24" t="str"/>
      <x:c r="F92" s="24" t="str"/>
      <x:c r="G92" s="25" t="str"/>
      <x:c r="H92" s="7" t="str"/>
      <x:c r="I92" s="24" t="str"/>
      <x:c r="J92" s="7" t="str"/>
      <x:c r="K92" s="7" t="str"/>
      <x:c r="L92" s="9" t="str"/>
      <x:c r="M92" s="24" t="str"/>
      <x:c r="N92" s="7" t="str"/>
    </x:row>
    <x:row r="93">
      <x:c r="A93" s="7" t="str"/>
      <x:c r="B93" s="7" t="str"/>
      <x:c r="C93" s="7" t="str"/>
      <x:c r="D93" s="9" t="str"/>
      <x:c r="E93" s="24" t="str"/>
      <x:c r="F93" s="24" t="str"/>
      <x:c r="G93" s="25" t="str"/>
      <x:c r="H93" s="7" t="str"/>
      <x:c r="I93" s="24" t="str"/>
      <x:c r="J93" s="7" t="str"/>
      <x:c r="K93" s="7" t="str"/>
      <x:c r="L93" s="9" t="str"/>
      <x:c r="M93" s="24" t="str"/>
      <x:c r="N93" s="7" t="str"/>
    </x:row>
    <x:row r="94">
      <x:c r="A94" s="7" t="str"/>
      <x:c r="B94" s="7" t="str"/>
      <x:c r="C94" s="7" t="str"/>
      <x:c r="D94" s="9" t="str"/>
      <x:c r="E94" s="24" t="str"/>
      <x:c r="F94" s="24" t="str"/>
      <x:c r="G94" s="25" t="str"/>
      <x:c r="H94" s="7" t="str"/>
      <x:c r="I94" s="24" t="str"/>
      <x:c r="J94" s="7" t="str"/>
      <x:c r="K94" s="7" t="str"/>
      <x:c r="L94" s="9" t="str"/>
      <x:c r="M94" s="24" t="str"/>
      <x:c r="N94" s="7" t="str"/>
    </x:row>
    <x:row r="95">
      <x:c r="A95" s="7" t="str"/>
      <x:c r="B95" s="7" t="str"/>
      <x:c r="C95" s="7" t="str"/>
      <x:c r="D95" s="9" t="str"/>
      <x:c r="E95" s="24" t="str"/>
      <x:c r="F95" s="24" t="str"/>
      <x:c r="G95" s="25" t="str"/>
      <x:c r="H95" s="7" t="str"/>
      <x:c r="I95" s="24" t="str"/>
      <x:c r="J95" s="7" t="str"/>
      <x:c r="K95" s="7" t="str"/>
      <x:c r="L95" s="9" t="str"/>
      <x:c r="M95" s="24" t="str"/>
      <x:c r="N95" s="7" t="str"/>
    </x:row>
    <x:row r="96">
      <x:c r="A96" s="7" t="str"/>
      <x:c r="B96" s="7" t="str"/>
      <x:c r="C96" s="7" t="str"/>
      <x:c r="D96" s="9" t="str"/>
      <x:c r="E96" s="24" t="str"/>
      <x:c r="F96" s="24" t="str"/>
      <x:c r="G96" s="25" t="str"/>
      <x:c r="H96" s="7" t="str"/>
      <x:c r="I96" s="24" t="str"/>
      <x:c r="J96" s="7" t="str"/>
      <x:c r="K96" s="7" t="str"/>
      <x:c r="L96" s="9" t="str"/>
      <x:c r="M96" s="24" t="str"/>
      <x:c r="N96" s="7" t="str"/>
    </x:row>
    <x:row r="97">
      <x:c r="A97" s="7" t="str"/>
      <x:c r="B97" s="7" t="str"/>
      <x:c r="C97" s="7" t="str"/>
      <x:c r="D97" s="9" t="str"/>
      <x:c r="E97" s="24" t="str"/>
      <x:c r="F97" s="24" t="str"/>
      <x:c r="G97" s="25" t="str"/>
      <x:c r="H97" s="7" t="str"/>
      <x:c r="I97" s="24" t="str"/>
      <x:c r="J97" s="7" t="str"/>
      <x:c r="K97" s="7" t="str"/>
      <x:c r="L97" s="9" t="str"/>
      <x:c r="M97" s="24" t="str"/>
      <x:c r="N97" s="7" t="str"/>
    </x:row>
    <x:row r="98">
      <x:c r="A98" s="7" t="str"/>
      <x:c r="B98" s="7" t="str"/>
      <x:c r="C98" s="7" t="str"/>
      <x:c r="D98" s="9" t="str"/>
      <x:c r="E98" s="24" t="str"/>
      <x:c r="F98" s="24" t="str"/>
      <x:c r="G98" s="25" t="str"/>
      <x:c r="H98" s="7" t="str"/>
      <x:c r="I98" s="24" t="str"/>
      <x:c r="J98" s="7" t="str"/>
      <x:c r="K98" s="7" t="str"/>
      <x:c r="L98" s="9" t="str"/>
      <x:c r="M98" s="24" t="str"/>
      <x:c r="N98" s="7" t="str"/>
    </x:row>
    <x:row r="99">
      <x:c r="A99" s="7" t="str"/>
      <x:c r="B99" s="7" t="str"/>
      <x:c r="C99" s="7" t="str"/>
      <x:c r="D99" s="9" t="str"/>
      <x:c r="E99" s="24" t="str"/>
      <x:c r="F99" s="24" t="str"/>
      <x:c r="G99" s="25" t="str"/>
      <x:c r="H99" s="7" t="str"/>
      <x:c r="I99" s="24" t="str"/>
      <x:c r="J99" s="7" t="str"/>
      <x:c r="K99" s="7" t="str"/>
      <x:c r="L99" s="9" t="str"/>
      <x:c r="M99" s="24" t="str"/>
      <x:c r="N99" s="7" t="str"/>
    </x:row>
    <x:row r="100">
      <x:c r="A100" s="7" t="str"/>
      <x:c r="B100" s="7" t="str"/>
      <x:c r="C100" s="7" t="str"/>
      <x:c r="D100" s="9" t="str"/>
      <x:c r="E100" s="24" t="str"/>
      <x:c r="F100" s="24" t="str"/>
      <x:c r="G100" s="25" t="str"/>
      <x:c r="H100" s="7" t="str"/>
      <x:c r="I100" s="24" t="str"/>
      <x:c r="J100" s="7" t="str"/>
      <x:c r="K100" s="7" t="str"/>
      <x:c r="L100" s="9" t="str"/>
      <x:c r="M100" s="24" t="str"/>
      <x:c r="N100" s="7" t="str"/>
    </x:row>
    <x:row r="101">
      <x:c r="A101" s="7" t="str"/>
      <x:c r="B101" s="7" t="str"/>
      <x:c r="C101" s="7" t="str"/>
      <x:c r="D101" s="9" t="str"/>
      <x:c r="E101" s="24" t="str"/>
      <x:c r="F101" s="24" t="str"/>
      <x:c r="G101" s="25" t="str"/>
      <x:c r="H101" s="7" t="str"/>
      <x:c r="I101" s="24" t="str"/>
      <x:c r="J101" s="7" t="str"/>
      <x:c r="K101" s="7" t="str"/>
      <x:c r="L101" s="9" t="str"/>
      <x:c r="M101" s="24" t="str"/>
      <x:c r="N101" s="7" t="str"/>
    </x:row>
    <x:row r="102">
      <x:c r="A102" s="7" t="str"/>
      <x:c r="B102" s="7" t="str"/>
      <x:c r="C102" s="7" t="str"/>
      <x:c r="D102" s="9" t="str"/>
      <x:c r="E102" s="24" t="str"/>
      <x:c r="F102" s="24" t="str"/>
      <x:c r="G102" s="25" t="str"/>
      <x:c r="H102" s="7" t="str"/>
      <x:c r="I102" s="24" t="str"/>
      <x:c r="J102" s="7" t="str"/>
      <x:c r="K102" s="7" t="str"/>
      <x:c r="L102" s="9" t="str"/>
      <x:c r="M102" s="24" t="str"/>
      <x:c r="N102" s="7" t="str"/>
    </x:row>
    <x:row r="103">
      <x:c r="A103" s="7" t="str"/>
      <x:c r="B103" s="7" t="str"/>
      <x:c r="C103" s="7" t="str"/>
      <x:c r="D103" s="9" t="str"/>
      <x:c r="E103" s="24" t="str"/>
      <x:c r="F103" s="24" t="str"/>
      <x:c r="G103" s="25" t="str"/>
      <x:c r="H103" s="7" t="str"/>
      <x:c r="I103" s="24" t="str"/>
      <x:c r="J103" s="7" t="str"/>
      <x:c r="K103" s="7" t="str"/>
      <x:c r="L103" s="9" t="str"/>
      <x:c r="M103" s="24" t="str"/>
      <x:c r="N103" s="7" t="str"/>
    </x:row>
    <x:row r="104">
      <x:c r="A104" s="7" t="str"/>
      <x:c r="B104" s="7" t="str"/>
      <x:c r="C104" s="7" t="str"/>
      <x:c r="D104" s="9" t="str"/>
      <x:c r="E104" s="24" t="str"/>
      <x:c r="F104" s="24" t="str"/>
      <x:c r="G104" s="25" t="str"/>
      <x:c r="H104" s="7" t="str"/>
      <x:c r="I104" s="24" t="str"/>
      <x:c r="J104" s="7" t="str"/>
      <x:c r="K104" s="7" t="str"/>
      <x:c r="L104" s="9" t="str"/>
      <x:c r="M104" s="24" t="str"/>
      <x:c r="N104" s="7" t="str"/>
    </x:row>
    <x:row r="105">
      <x:c r="A105" s="7" t="str"/>
      <x:c r="B105" s="7" t="str"/>
      <x:c r="C105" s="7" t="str"/>
      <x:c r="D105" s="9" t="str"/>
      <x:c r="E105" s="24" t="str"/>
      <x:c r="F105" s="24" t="str"/>
      <x:c r="G105" s="25" t="str"/>
      <x:c r="H105" s="7" t="str"/>
      <x:c r="I105" s="24" t="str"/>
      <x:c r="J105" s="7" t="str"/>
      <x:c r="K105" s="7" t="str"/>
      <x:c r="L105" s="9" t="str"/>
      <x:c r="M105" s="24" t="str"/>
      <x:c r="N105" s="7" t="str"/>
    </x:row>
    <x:row r="106">
      <x:c r="A106" s="7" t="str"/>
      <x:c r="B106" s="7" t="str"/>
      <x:c r="C106" s="7" t="str"/>
      <x:c r="D106" s="9" t="str"/>
      <x:c r="E106" s="24" t="str"/>
      <x:c r="F106" s="24" t="str"/>
      <x:c r="G106" s="25" t="str"/>
      <x:c r="H106" s="7" t="str"/>
      <x:c r="I106" s="24" t="str"/>
      <x:c r="J106" s="7" t="str"/>
      <x:c r="K106" s="7" t="str"/>
      <x:c r="L106" s="9" t="str"/>
      <x:c r="M106" s="24" t="str"/>
      <x:c r="N106" s="7" t="str"/>
    </x:row>
    <x:row r="107">
      <x:c r="A107" s="7" t="str"/>
      <x:c r="B107" s="7" t="str"/>
      <x:c r="C107" s="7" t="str"/>
      <x:c r="D107" s="9" t="str"/>
      <x:c r="E107" s="24" t="str"/>
      <x:c r="F107" s="24" t="str"/>
      <x:c r="G107" s="25" t="str"/>
      <x:c r="H107" s="7" t="str"/>
      <x:c r="I107" s="24" t="str"/>
      <x:c r="J107" s="7" t="str"/>
      <x:c r="K107" s="7" t="str"/>
      <x:c r="L107" s="9" t="str"/>
      <x:c r="M107" s="24" t="str"/>
      <x:c r="N107" s="7" t="str"/>
    </x:row>
    <x:row r="108">
      <x:c r="A108" s="7" t="str"/>
      <x:c r="B108" s="7" t="str"/>
      <x:c r="C108" s="7" t="str"/>
      <x:c r="D108" s="9" t="str"/>
      <x:c r="E108" s="24" t="str"/>
      <x:c r="F108" s="24" t="str"/>
      <x:c r="G108" s="25" t="str"/>
      <x:c r="H108" s="7" t="str"/>
      <x:c r="I108" s="24" t="str"/>
      <x:c r="J108" s="7" t="str"/>
      <x:c r="K108" s="7" t="str"/>
      <x:c r="L108" s="9" t="str"/>
      <x:c r="M108" s="24" t="str"/>
      <x:c r="N108" s="7" t="str"/>
    </x:row>
    <x:row r="109">
      <x:c r="A109" s="7" t="str"/>
      <x:c r="B109" s="7" t="str"/>
      <x:c r="C109" s="7" t="str"/>
      <x:c r="D109" s="9" t="str"/>
      <x:c r="E109" s="24" t="str"/>
      <x:c r="F109" s="24" t="str"/>
      <x:c r="G109" s="25" t="str"/>
      <x:c r="H109" s="7" t="str"/>
      <x:c r="I109" s="24" t="str"/>
      <x:c r="J109" s="7" t="str"/>
      <x:c r="K109" s="7" t="str"/>
      <x:c r="L109" s="9" t="str"/>
      <x:c r="M109" s="24" t="str"/>
      <x:c r="N109" s="7" t="str"/>
    </x:row>
    <x:row r="110">
      <x:c r="A110" s="7" t="str"/>
      <x:c r="B110" s="7" t="str"/>
      <x:c r="C110" s="7" t="str"/>
      <x:c r="D110" s="9" t="str"/>
      <x:c r="E110" s="24" t="str"/>
      <x:c r="F110" s="24" t="str"/>
      <x:c r="G110" s="25" t="str"/>
      <x:c r="H110" s="7" t="str"/>
      <x:c r="I110" s="24" t="str"/>
      <x:c r="J110" s="7" t="str"/>
      <x:c r="K110" s="7" t="str"/>
      <x:c r="L110" s="9" t="str"/>
      <x:c r="M110" s="24" t="str"/>
      <x:c r="N110" s="7" t="str"/>
    </x:row>
    <x:row r="111">
      <x:c r="A111" s="7" t="str"/>
      <x:c r="B111" s="7" t="str"/>
      <x:c r="C111" s="7" t="str"/>
      <x:c r="D111" s="9" t="str"/>
      <x:c r="E111" s="24" t="str"/>
      <x:c r="F111" s="24" t="str"/>
      <x:c r="G111" s="25" t="str"/>
      <x:c r="H111" s="7" t="str"/>
      <x:c r="I111" s="24" t="str"/>
      <x:c r="J111" s="7" t="str"/>
      <x:c r="K111" s="7" t="str"/>
      <x:c r="L111" s="9" t="str"/>
      <x:c r="M111" s="24" t="str"/>
      <x:c r="N111" s="7" t="str"/>
    </x:row>
    <x:row r="112">
      <x:c r="A112" s="7" t="str"/>
      <x:c r="B112" s="7" t="str"/>
      <x:c r="C112" s="7" t="str"/>
      <x:c r="D112" s="9" t="str"/>
      <x:c r="E112" s="24" t="str"/>
      <x:c r="F112" s="24" t="str"/>
      <x:c r="G112" s="25" t="str"/>
      <x:c r="H112" s="7" t="str"/>
      <x:c r="I112" s="24" t="str"/>
      <x:c r="J112" s="7" t="str"/>
      <x:c r="K112" s="7" t="str"/>
      <x:c r="L112" s="9" t="str"/>
      <x:c r="M112" s="24" t="str"/>
      <x:c r="N112" s="7" t="str"/>
    </x:row>
    <x:row r="113">
      <x:c r="A113" s="7" t="str"/>
      <x:c r="B113" s="7" t="str"/>
      <x:c r="C113" s="7" t="str"/>
      <x:c r="D113" s="9" t="str"/>
      <x:c r="E113" s="24" t="str"/>
      <x:c r="F113" s="24" t="str"/>
      <x:c r="G113" s="25" t="str"/>
      <x:c r="H113" s="7" t="str"/>
      <x:c r="I113" s="24" t="str"/>
      <x:c r="J113" s="7" t="str"/>
      <x:c r="K113" s="7" t="str"/>
      <x:c r="L113" s="9" t="str"/>
      <x:c r="M113" s="24" t="str"/>
      <x:c r="N113" s="7" t="str"/>
    </x:row>
    <x:row r="114">
      <x:c r="A114" s="7" t="str"/>
      <x:c r="B114" s="7" t="str"/>
      <x:c r="C114" s="7" t="str"/>
      <x:c r="D114" s="9" t="str"/>
      <x:c r="E114" s="24" t="str"/>
      <x:c r="F114" s="24" t="str"/>
      <x:c r="G114" s="25" t="str"/>
      <x:c r="H114" s="7" t="str"/>
      <x:c r="I114" s="24" t="str"/>
      <x:c r="J114" s="7" t="str"/>
      <x:c r="K114" s="7" t="str"/>
      <x:c r="L114" s="9" t="str"/>
      <x:c r="M114" s="24" t="str"/>
      <x:c r="N114" s="7" t="str"/>
    </x:row>
    <x:row r="115">
      <x:c r="A115" s="7" t="str"/>
      <x:c r="B115" s="7" t="str"/>
      <x:c r="C115" s="7" t="str"/>
      <x:c r="D115" s="9" t="str"/>
      <x:c r="E115" s="24" t="str"/>
      <x:c r="F115" s="24" t="str"/>
      <x:c r="G115" s="25" t="str"/>
      <x:c r="H115" s="7" t="str"/>
      <x:c r="I115" s="24" t="str"/>
      <x:c r="J115" s="7" t="str"/>
      <x:c r="K115" s="7" t="str"/>
      <x:c r="L115" s="9" t="str"/>
      <x:c r="M115" s="24" t="str"/>
      <x:c r="N115" s="7" t="str"/>
    </x:row>
    <x:row r="116">
      <x:c r="A116" s="7" t="str"/>
      <x:c r="B116" s="7" t="str"/>
      <x:c r="C116" s="7" t="str"/>
      <x:c r="D116" s="9" t="str"/>
      <x:c r="E116" s="24" t="str"/>
      <x:c r="F116" s="24" t="str"/>
      <x:c r="G116" s="25" t="str"/>
      <x:c r="H116" s="7" t="str"/>
      <x:c r="I116" s="24" t="str"/>
      <x:c r="J116" s="7" t="str"/>
      <x:c r="K116" s="7" t="str"/>
      <x:c r="L116" s="9" t="str"/>
      <x:c r="M116" s="24" t="str"/>
      <x:c r="N116" s="7" t="str"/>
    </x:row>
    <x:row r="117">
      <x:c r="A117" s="7" t="str"/>
      <x:c r="B117" s="7" t="str"/>
      <x:c r="C117" s="7" t="str"/>
      <x:c r="D117" s="9" t="str"/>
      <x:c r="E117" s="24" t="str"/>
      <x:c r="F117" s="24" t="str"/>
      <x:c r="G117" s="25" t="str"/>
      <x:c r="H117" s="7" t="str"/>
      <x:c r="I117" s="24" t="str"/>
      <x:c r="J117" s="7" t="str"/>
      <x:c r="K117" s="7" t="str"/>
      <x:c r="L117" s="9" t="str"/>
      <x:c r="M117" s="24" t="str"/>
      <x:c r="N117" s="7" t="str"/>
    </x:row>
    <x:row r="118">
      <x:c r="A118" s="7" t="str"/>
      <x:c r="B118" s="7" t="str"/>
      <x:c r="C118" s="7" t="str"/>
      <x:c r="D118" s="9" t="str"/>
      <x:c r="E118" s="24" t="str"/>
      <x:c r="F118" s="24" t="str"/>
      <x:c r="G118" s="25" t="str"/>
      <x:c r="H118" s="7" t="str"/>
      <x:c r="I118" s="24" t="str"/>
      <x:c r="J118" s="7" t="str"/>
      <x:c r="K118" s="7" t="str"/>
      <x:c r="L118" s="9" t="str"/>
      <x:c r="M118" s="24" t="str"/>
      <x:c r="N118" s="7" t="str"/>
    </x:row>
    <x:row r="119">
      <x:c r="A119" s="7" t="str"/>
      <x:c r="B119" s="7" t="str"/>
      <x:c r="C119" s="7" t="str"/>
      <x:c r="D119" s="9" t="str"/>
      <x:c r="E119" s="24" t="str"/>
      <x:c r="F119" s="24" t="str"/>
      <x:c r="G119" s="25" t="str"/>
      <x:c r="H119" s="7" t="str"/>
      <x:c r="I119" s="24" t="str"/>
      <x:c r="J119" s="7" t="str"/>
      <x:c r="K119" s="7" t="str"/>
      <x:c r="L119" s="9" t="str"/>
      <x:c r="M119" s="24" t="str"/>
      <x:c r="N119" s="7" t="str"/>
    </x:row>
    <x:row r="120">
      <x:c r="A120" s="7" t="str"/>
      <x:c r="B120" s="7" t="str"/>
      <x:c r="C120" s="7" t="str"/>
      <x:c r="D120" s="9" t="str"/>
      <x:c r="E120" s="24" t="str"/>
      <x:c r="F120" s="24" t="str"/>
      <x:c r="G120" s="25" t="str"/>
      <x:c r="H120" s="7" t="str"/>
      <x:c r="I120" s="24" t="str"/>
      <x:c r="J120" s="7" t="str"/>
      <x:c r="K120" s="7" t="str"/>
      <x:c r="L120" s="9" t="str"/>
      <x:c r="M120" s="24" t="str"/>
      <x:c r="N120" s="7" t="str"/>
    </x:row>
    <x:row r="121">
      <x:c r="A121" s="7" t="str"/>
      <x:c r="B121" s="7" t="str"/>
      <x:c r="C121" s="7" t="str"/>
      <x:c r="D121" s="9" t="str"/>
      <x:c r="E121" s="24" t="str"/>
      <x:c r="F121" s="24" t="str"/>
      <x:c r="G121" s="25" t="str"/>
      <x:c r="H121" s="7" t="str"/>
      <x:c r="I121" s="24" t="str"/>
      <x:c r="J121" s="7" t="str"/>
      <x:c r="K121" s="7" t="str"/>
      <x:c r="L121" s="9" t="str"/>
      <x:c r="M121" s="24" t="str"/>
      <x:c r="N121" s="7" t="str"/>
    </x:row>
    <x:row r="122">
      <x:c r="A122" s="7" t="str"/>
      <x:c r="B122" s="7" t="str"/>
      <x:c r="C122" s="7" t="str"/>
      <x:c r="D122" s="9" t="str"/>
      <x:c r="E122" s="24" t="str"/>
      <x:c r="F122" s="24" t="str"/>
      <x:c r="G122" s="25" t="str"/>
      <x:c r="H122" s="7" t="str"/>
      <x:c r="I122" s="24" t="str"/>
      <x:c r="J122" s="7" t="str"/>
      <x:c r="K122" s="7" t="str"/>
      <x:c r="L122" s="9" t="str"/>
      <x:c r="M122" s="24" t="str"/>
      <x:c r="N122" s="7" t="str"/>
    </x:row>
    <x:row r="123">
      <x:c r="A123" s="7" t="str"/>
      <x:c r="B123" s="7" t="str"/>
      <x:c r="C123" s="7" t="str"/>
      <x:c r="D123" s="9" t="str"/>
      <x:c r="E123" s="24" t="str"/>
      <x:c r="F123" s="24" t="str"/>
      <x:c r="G123" s="25" t="str"/>
      <x:c r="H123" s="7" t="str"/>
      <x:c r="I123" s="24" t="str"/>
      <x:c r="J123" s="7" t="str"/>
      <x:c r="K123" s="7" t="str"/>
      <x:c r="L123" s="9" t="str"/>
      <x:c r="M123" s="24" t="str"/>
      <x:c r="N123" s="7" t="str"/>
    </x:row>
    <x:row r="124">
      <x:c r="A124" s="7" t="str"/>
      <x:c r="B124" s="7" t="str"/>
      <x:c r="C124" s="7" t="str"/>
      <x:c r="D124" s="9" t="str"/>
      <x:c r="E124" s="24" t="str"/>
      <x:c r="F124" s="24" t="str"/>
      <x:c r="G124" s="25" t="str"/>
      <x:c r="H124" s="7" t="str"/>
      <x:c r="I124" s="24" t="str"/>
      <x:c r="J124" s="7" t="str"/>
      <x:c r="K124" s="7" t="str"/>
      <x:c r="L124" s="9" t="str"/>
      <x:c r="M124" s="24" t="str"/>
      <x:c r="N124" s="7" t="str"/>
    </x:row>
    <x:row r="125">
      <x:c r="A125" s="7" t="str"/>
      <x:c r="B125" s="7" t="str"/>
      <x:c r="C125" s="7" t="str"/>
      <x:c r="D125" s="9" t="str"/>
      <x:c r="E125" s="24" t="str"/>
      <x:c r="F125" s="24" t="str"/>
      <x:c r="G125" s="25" t="str"/>
      <x:c r="H125" s="7" t="str"/>
      <x:c r="I125" s="24" t="str"/>
      <x:c r="J125" s="7" t="str"/>
      <x:c r="K125" s="7" t="str"/>
      <x:c r="L125" s="9" t="str"/>
      <x:c r="M125" s="24" t="str"/>
      <x:c r="N125" s="7" t="str"/>
    </x:row>
    <x:row r="126">
      <x:c r="A126" s="7" t="str"/>
      <x:c r="B126" s="7" t="str"/>
      <x:c r="C126" s="7" t="str"/>
      <x:c r="D126" s="9" t="str"/>
      <x:c r="E126" s="24" t="str"/>
      <x:c r="F126" s="24" t="str"/>
      <x:c r="G126" s="25" t="str"/>
      <x:c r="H126" s="7" t="str"/>
      <x:c r="I126" s="24" t="str"/>
      <x:c r="J126" s="7" t="str"/>
      <x:c r="K126" s="7" t="str"/>
      <x:c r="L126" s="9" t="str"/>
      <x:c r="M126" s="24" t="str"/>
      <x:c r="N126" s="7" t="str"/>
    </x:row>
    <x:row r="127">
      <x:c r="A127" s="7" t="str"/>
      <x:c r="B127" s="7" t="str"/>
      <x:c r="C127" s="7" t="str"/>
      <x:c r="D127" s="9" t="str"/>
      <x:c r="E127" s="24" t="str"/>
      <x:c r="F127" s="24" t="str"/>
      <x:c r="G127" s="25" t="str"/>
      <x:c r="H127" s="7" t="str"/>
      <x:c r="I127" s="24" t="str"/>
      <x:c r="J127" s="7" t="str"/>
      <x:c r="K127" s="7" t="str"/>
      <x:c r="L127" s="9" t="str"/>
      <x:c r="M127" s="24" t="str"/>
      <x:c r="N127" s="7" t="str"/>
    </x:row>
    <x:row r="128">
      <x:c r="A128" s="7" t="str"/>
      <x:c r="B128" s="7" t="str"/>
      <x:c r="C128" s="7" t="str"/>
      <x:c r="D128" s="9" t="str"/>
      <x:c r="E128" s="24" t="str"/>
      <x:c r="F128" s="24" t="str"/>
      <x:c r="G128" s="25" t="str"/>
      <x:c r="H128" s="7" t="str"/>
      <x:c r="I128" s="24" t="str"/>
      <x:c r="J128" s="7" t="str"/>
      <x:c r="K128" s="7" t="str"/>
      <x:c r="L128" s="9" t="str"/>
      <x:c r="M128" s="24" t="str"/>
      <x:c r="N128" s="7" t="str"/>
    </x:row>
    <x:row r="129">
      <x:c r="A129" s="7" t="str"/>
      <x:c r="B129" s="7" t="str"/>
      <x:c r="C129" s="7" t="str"/>
      <x:c r="D129" s="9" t="str"/>
      <x:c r="E129" s="24" t="str"/>
      <x:c r="F129" s="24" t="str"/>
      <x:c r="G129" s="25" t="str"/>
      <x:c r="H129" s="7" t="str"/>
      <x:c r="I129" s="24" t="str"/>
      <x:c r="J129" s="7" t="str"/>
      <x:c r="K129" s="7" t="str"/>
      <x:c r="L129" s="9" t="str"/>
      <x:c r="M129" s="24" t="str"/>
      <x:c r="N129" s="7" t="str"/>
    </x:row>
    <x:row r="130">
      <x:c r="A130" s="7" t="str"/>
      <x:c r="B130" s="7" t="str"/>
      <x:c r="C130" s="7" t="str"/>
      <x:c r="D130" s="9" t="str"/>
      <x:c r="E130" s="24" t="str"/>
      <x:c r="F130" s="24" t="str"/>
      <x:c r="G130" s="25" t="str"/>
      <x:c r="H130" s="7" t="str"/>
      <x:c r="I130" s="24" t="str"/>
      <x:c r="J130" s="7" t="str"/>
      <x:c r="K130" s="7" t="str"/>
      <x:c r="L130" s="9" t="str"/>
      <x:c r="M130" s="24" t="str"/>
      <x:c r="N130" s="7" t="str"/>
    </x:row>
    <x:row r="131">
      <x:c r="A131" s="7" t="str"/>
      <x:c r="B131" s="7" t="str"/>
      <x:c r="C131" s="7" t="str"/>
      <x:c r="D131" s="9" t="str"/>
      <x:c r="E131" s="24" t="str"/>
      <x:c r="F131" s="24" t="str"/>
      <x:c r="G131" s="25" t="str"/>
      <x:c r="H131" s="7" t="str"/>
      <x:c r="I131" s="24" t="str"/>
      <x:c r="J131" s="7" t="str"/>
      <x:c r="K131" s="7" t="str"/>
      <x:c r="L131" s="9" t="str"/>
      <x:c r="M131" s="24" t="str"/>
      <x:c r="N131" s="7" t="str"/>
    </x:row>
    <x:row r="132">
      <x:c r="A132" s="7" t="str"/>
      <x:c r="B132" s="7" t="str"/>
      <x:c r="C132" s="7" t="str"/>
      <x:c r="D132" s="9" t="str"/>
      <x:c r="E132" s="24" t="str"/>
      <x:c r="F132" s="24" t="str"/>
      <x:c r="G132" s="25" t="str"/>
      <x:c r="H132" s="7" t="str"/>
      <x:c r="I132" s="24" t="str"/>
      <x:c r="J132" s="7" t="str"/>
      <x:c r="K132" s="7" t="str"/>
      <x:c r="L132" s="9" t="str"/>
      <x:c r="M132" s="24" t="str"/>
      <x:c r="N132" s="7" t="str"/>
    </x:row>
    <x:row r="133">
      <x:c r="A133" s="7" t="str"/>
      <x:c r="B133" s="7" t="str"/>
      <x:c r="C133" s="7" t="str"/>
      <x:c r="D133" s="9" t="str"/>
      <x:c r="E133" s="24" t="str"/>
      <x:c r="F133" s="24" t="str"/>
      <x:c r="G133" s="25" t="str"/>
      <x:c r="H133" s="7" t="str"/>
      <x:c r="I133" s="24" t="str"/>
      <x:c r="J133" s="7" t="str"/>
      <x:c r="K133" s="7" t="str"/>
      <x:c r="L133" s="9" t="str"/>
      <x:c r="M133" s="24" t="str"/>
      <x:c r="N133" s="7" t="str"/>
    </x:row>
    <x:row r="134">
      <x:c r="A134" s="7" t="str"/>
      <x:c r="B134" s="7" t="str"/>
      <x:c r="C134" s="7" t="str"/>
      <x:c r="D134" s="9" t="str"/>
      <x:c r="E134" s="24" t="str"/>
      <x:c r="F134" s="24" t="str"/>
      <x:c r="G134" s="25" t="str"/>
      <x:c r="H134" s="7" t="str"/>
      <x:c r="I134" s="24" t="str"/>
      <x:c r="J134" s="7" t="str"/>
      <x:c r="K134" s="7" t="str"/>
      <x:c r="L134" s="9" t="str"/>
      <x:c r="M134" s="24" t="str"/>
      <x:c r="N134" s="7" t="str"/>
    </x:row>
    <x:row r="135">
      <x:c r="A135" s="7" t="str"/>
      <x:c r="B135" s="7" t="str"/>
      <x:c r="C135" s="7" t="str"/>
      <x:c r="D135" s="9" t="str"/>
      <x:c r="E135" s="24" t="str"/>
      <x:c r="F135" s="24" t="str"/>
      <x:c r="G135" s="25" t="str"/>
      <x:c r="H135" s="7" t="str"/>
      <x:c r="I135" s="24" t="str"/>
      <x:c r="J135" s="7" t="str"/>
      <x:c r="K135" s="7" t="str"/>
      <x:c r="L135" s="9" t="str"/>
      <x:c r="M135" s="24" t="str"/>
      <x:c r="N135" s="7" t="str"/>
    </x:row>
    <x:row r="136">
      <x:c r="A136" s="7" t="str"/>
      <x:c r="B136" s="7" t="str"/>
      <x:c r="C136" s="7" t="str"/>
      <x:c r="D136" s="9" t="str"/>
      <x:c r="E136" s="24" t="str"/>
      <x:c r="F136" s="24" t="str"/>
      <x:c r="G136" s="25" t="str"/>
      <x:c r="H136" s="7" t="str"/>
      <x:c r="I136" s="24" t="str"/>
      <x:c r="J136" s="7" t="str"/>
      <x:c r="K136" s="7" t="str"/>
      <x:c r="L136" s="9" t="str"/>
      <x:c r="M136" s="24" t="str"/>
      <x:c r="N136" s="7" t="str"/>
    </x:row>
    <x:row r="137">
      <x:c r="A137" s="7" t="str"/>
      <x:c r="B137" s="7" t="str"/>
      <x:c r="C137" s="7" t="str"/>
      <x:c r="D137" s="9" t="str"/>
      <x:c r="E137" s="24" t="str"/>
      <x:c r="F137" s="24" t="str"/>
      <x:c r="G137" s="25" t="str"/>
      <x:c r="H137" s="7" t="str"/>
      <x:c r="I137" s="24" t="str"/>
      <x:c r="J137" s="7" t="str"/>
      <x:c r="K137" s="7" t="str"/>
      <x:c r="L137" s="9" t="str"/>
      <x:c r="M137" s="24" t="str"/>
      <x:c r="N137" s="7" t="str"/>
    </x:row>
    <x:row r="138">
      <x:c r="A138" s="7" t="str"/>
      <x:c r="B138" s="7" t="str"/>
      <x:c r="C138" s="7" t="str"/>
      <x:c r="D138" s="9" t="str"/>
      <x:c r="E138" s="24" t="str"/>
      <x:c r="F138" s="24" t="str"/>
      <x:c r="G138" s="25" t="str"/>
      <x:c r="H138" s="7" t="str"/>
      <x:c r="I138" s="24" t="str"/>
      <x:c r="J138" s="7" t="str"/>
      <x:c r="K138" s="7" t="str"/>
      <x:c r="L138" s="9" t="str"/>
      <x:c r="M138" s="24" t="str"/>
      <x:c r="N138" s="7" t="str"/>
    </x:row>
    <x:row r="139">
      <x:c r="A139" s="7" t="str"/>
      <x:c r="B139" s="7" t="str"/>
      <x:c r="C139" s="7" t="str"/>
      <x:c r="D139" s="9" t="str"/>
      <x:c r="E139" s="24" t="str"/>
      <x:c r="F139" s="24" t="str"/>
      <x:c r="G139" s="25" t="str"/>
      <x:c r="H139" s="7" t="str"/>
      <x:c r="I139" s="24" t="str"/>
      <x:c r="J139" s="7" t="str"/>
      <x:c r="K139" s="7" t="str"/>
      <x:c r="L139" s="9" t="str"/>
      <x:c r="M139" s="24" t="str"/>
      <x:c r="N139" s="7" t="str"/>
    </x:row>
    <x:row r="140">
      <x:c r="A140" s="7" t="str"/>
      <x:c r="B140" s="7" t="str"/>
      <x:c r="C140" s="7" t="str"/>
      <x:c r="D140" s="9" t="str"/>
      <x:c r="E140" s="24" t="str"/>
      <x:c r="F140" s="24" t="str"/>
      <x:c r="G140" s="25" t="str"/>
      <x:c r="H140" s="7" t="str"/>
      <x:c r="I140" s="24" t="str"/>
      <x:c r="J140" s="7" t="str"/>
      <x:c r="K140" s="7" t="str"/>
      <x:c r="L140" s="9" t="str"/>
      <x:c r="M140" s="24" t="str"/>
      <x:c r="N140" s="7" t="str"/>
    </x:row>
    <x:row r="141">
      <x:c r="A141" s="7" t="str"/>
      <x:c r="B141" s="7" t="str"/>
      <x:c r="C141" s="7" t="str"/>
      <x:c r="D141" s="9" t="str"/>
      <x:c r="E141" s="24" t="str"/>
      <x:c r="F141" s="24" t="str"/>
      <x:c r="G141" s="25" t="str"/>
      <x:c r="H141" s="7" t="str"/>
      <x:c r="I141" s="24" t="str"/>
      <x:c r="J141" s="7" t="str"/>
      <x:c r="K141" s="7" t="str"/>
      <x:c r="L141" s="9" t="str"/>
      <x:c r="M141" s="24" t="str"/>
      <x:c r="N141" s="7" t="str"/>
    </x:row>
    <x:row r="142">
      <x:c r="A142" s="7" t="str"/>
      <x:c r="B142" s="7" t="str"/>
      <x:c r="C142" s="7" t="str"/>
      <x:c r="D142" s="9" t="str"/>
      <x:c r="E142" s="24" t="str"/>
      <x:c r="F142" s="24" t="str"/>
      <x:c r="G142" s="25" t="str"/>
      <x:c r="H142" s="7" t="str"/>
      <x:c r="I142" s="24" t="str"/>
      <x:c r="J142" s="7" t="str"/>
      <x:c r="K142" s="7" t="str"/>
      <x:c r="L142" s="9" t="str"/>
      <x:c r="M142" s="24" t="str"/>
      <x:c r="N142" s="7" t="str"/>
    </x:row>
    <x:row r="143">
      <x:c r="A143" s="7" t="str"/>
      <x:c r="B143" s="7" t="str"/>
      <x:c r="C143" s="7" t="str"/>
      <x:c r="D143" s="9" t="str"/>
      <x:c r="E143" s="24" t="str"/>
      <x:c r="F143" s="24" t="str"/>
      <x:c r="G143" s="25" t="str"/>
      <x:c r="H143" s="7" t="str"/>
      <x:c r="I143" s="24" t="str"/>
      <x:c r="J143" s="7" t="str"/>
      <x:c r="K143" s="7" t="str"/>
      <x:c r="L143" s="9" t="str"/>
      <x:c r="M143" s="24" t="str"/>
      <x:c r="N143" s="7" t="str"/>
    </x:row>
    <x:row r="144">
      <x:c r="A144" s="7" t="str"/>
      <x:c r="B144" s="7" t="str"/>
      <x:c r="C144" s="7" t="str"/>
      <x:c r="D144" s="9" t="str"/>
      <x:c r="E144" s="24" t="str"/>
      <x:c r="F144" s="24" t="str"/>
      <x:c r="G144" s="25" t="str"/>
      <x:c r="H144" s="7" t="str"/>
      <x:c r="I144" s="24" t="str"/>
      <x:c r="J144" s="7" t="str"/>
      <x:c r="K144" s="7" t="str"/>
      <x:c r="L144" s="9" t="str"/>
      <x:c r="M144" s="24" t="str"/>
      <x:c r="N144" s="7" t="str"/>
    </x:row>
    <x:row r="145">
      <x:c r="A145" s="7" t="str"/>
      <x:c r="B145" s="7" t="str"/>
      <x:c r="C145" s="7" t="str"/>
      <x:c r="D145" s="9" t="str"/>
      <x:c r="E145" s="24" t="str"/>
      <x:c r="F145" s="24" t="str"/>
      <x:c r="G145" s="25" t="str"/>
      <x:c r="H145" s="7" t="str"/>
      <x:c r="I145" s="24" t="str"/>
      <x:c r="J145" s="7" t="str"/>
      <x:c r="K145" s="7" t="str"/>
      <x:c r="L145" s="9" t="str"/>
      <x:c r="M145" s="24" t="str"/>
      <x:c r="N145" s="7" t="str"/>
    </x:row>
    <x:row r="146">
      <x:c r="A146" s="7" t="str"/>
      <x:c r="B146" s="7" t="str"/>
      <x:c r="C146" s="7" t="str"/>
      <x:c r="D146" s="9" t="str"/>
      <x:c r="E146" s="24" t="str"/>
      <x:c r="F146" s="24" t="str"/>
      <x:c r="G146" s="25" t="str"/>
      <x:c r="H146" s="7" t="str"/>
      <x:c r="I146" s="24" t="str"/>
      <x:c r="J146" s="7" t="str"/>
      <x:c r="K146" s="7" t="str"/>
      <x:c r="L146" s="9" t="str"/>
      <x:c r="M146" s="24" t="str"/>
      <x:c r="N146" s="7" t="str"/>
    </x:row>
    <x:row r="147">
      <x:c r="A147" s="7" t="str"/>
      <x:c r="B147" s="7" t="str"/>
      <x:c r="C147" s="7" t="str"/>
      <x:c r="D147" s="9" t="str"/>
      <x:c r="E147" s="24" t="str"/>
      <x:c r="F147" s="24" t="str"/>
      <x:c r="G147" s="25" t="str"/>
      <x:c r="H147" s="7" t="str"/>
      <x:c r="I147" s="24" t="str"/>
      <x:c r="J147" s="7" t="str"/>
      <x:c r="K147" s="7" t="str"/>
      <x:c r="L147" s="9" t="str"/>
      <x:c r="M147" s="24" t="str"/>
      <x:c r="N147" s="7" t="str"/>
    </x:row>
    <x:row r="148">
      <x:c r="A148" s="7" t="str"/>
      <x:c r="B148" s="7" t="str"/>
      <x:c r="C148" s="7" t="str"/>
      <x:c r="D148" s="9" t="str"/>
      <x:c r="E148" s="24" t="str"/>
      <x:c r="F148" s="24" t="str"/>
      <x:c r="G148" s="25" t="str"/>
      <x:c r="H148" s="7" t="str"/>
      <x:c r="I148" s="24" t="str"/>
      <x:c r="J148" s="7" t="str"/>
      <x:c r="K148" s="7" t="str"/>
      <x:c r="L148" s="9" t="str"/>
      <x:c r="M148" s="24" t="str"/>
      <x:c r="N148" s="7" t="str"/>
    </x:row>
    <x:row r="149">
      <x:c r="A149" s="7" t="str"/>
      <x:c r="B149" s="7" t="str"/>
      <x:c r="C149" s="7" t="str"/>
      <x:c r="D149" s="9" t="str"/>
      <x:c r="E149" s="24" t="str"/>
      <x:c r="F149" s="24" t="str"/>
      <x:c r="G149" s="25" t="str"/>
      <x:c r="H149" s="7" t="str"/>
      <x:c r="I149" s="24" t="str"/>
      <x:c r="J149" s="7" t="str"/>
      <x:c r="K149" s="7" t="str"/>
      <x:c r="L149" s="9" t="str"/>
      <x:c r="M149" s="24" t="str"/>
      <x:c r="N149" s="7" t="str"/>
    </x:row>
    <x:row r="150">
      <x:c r="A150" s="7" t="str"/>
      <x:c r="B150" s="7" t="str"/>
      <x:c r="C150" s="7" t="str"/>
      <x:c r="D150" s="9" t="str"/>
      <x:c r="E150" s="24" t="str"/>
      <x:c r="F150" s="24" t="str"/>
      <x:c r="G150" s="25" t="str"/>
      <x:c r="H150" s="7" t="str"/>
      <x:c r="I150" s="24" t="str"/>
      <x:c r="J150" s="7" t="str"/>
      <x:c r="K150" s="7" t="str"/>
      <x:c r="L150" s="9" t="str"/>
      <x:c r="M150" s="24" t="str"/>
      <x:c r="N150" s="7" t="str"/>
    </x:row>
    <x:row r="151">
      <x:c r="A151" s="7" t="str"/>
      <x:c r="B151" s="7" t="str"/>
      <x:c r="C151" s="7" t="str"/>
      <x:c r="D151" s="9" t="str"/>
      <x:c r="E151" s="24" t="str"/>
      <x:c r="F151" s="24" t="str"/>
      <x:c r="G151" s="25" t="str"/>
      <x:c r="H151" s="7" t="str"/>
      <x:c r="I151" s="24" t="str"/>
      <x:c r="J151" s="7" t="str"/>
      <x:c r="K151" s="7" t="str"/>
      <x:c r="L151" s="9" t="str"/>
      <x:c r="M151" s="24" t="str"/>
      <x:c r="N151" s="7" t="str"/>
    </x:row>
    <x:row r="152">
      <x:c r="A152" s="7" t="str"/>
      <x:c r="B152" s="7" t="str"/>
      <x:c r="C152" s="7" t="str"/>
      <x:c r="D152" s="9" t="str"/>
      <x:c r="E152" s="24" t="str"/>
      <x:c r="F152" s="24" t="str"/>
      <x:c r="G152" s="25" t="str"/>
      <x:c r="H152" s="7" t="str"/>
      <x:c r="I152" s="24" t="str"/>
      <x:c r="J152" s="7" t="str"/>
      <x:c r="K152" s="7" t="str"/>
      <x:c r="L152" s="9" t="str"/>
      <x:c r="M152" s="24" t="str"/>
      <x:c r="N152" s="7" t="str"/>
    </x:row>
    <x:row r="153">
      <x:c r="A153" s="7" t="str"/>
      <x:c r="B153" s="7" t="str"/>
      <x:c r="C153" s="7" t="str"/>
      <x:c r="D153" s="9" t="str"/>
      <x:c r="E153" s="24" t="str"/>
      <x:c r="F153" s="24" t="str"/>
      <x:c r="G153" s="25" t="str"/>
      <x:c r="H153" s="7" t="str"/>
      <x:c r="I153" s="24" t="str"/>
      <x:c r="J153" s="7" t="str"/>
      <x:c r="K153" s="7" t="str"/>
      <x:c r="L153" s="9" t="str"/>
      <x:c r="M153" s="24" t="str"/>
      <x:c r="N153" s="7" t="str"/>
    </x:row>
    <x:row r="154">
      <x:c r="A154" s="7" t="str"/>
      <x:c r="B154" s="7" t="str"/>
      <x:c r="C154" s="7" t="str"/>
      <x:c r="D154" s="9" t="str"/>
      <x:c r="E154" s="24" t="str"/>
      <x:c r="F154" s="24" t="str"/>
      <x:c r="G154" s="25" t="str"/>
      <x:c r="H154" s="7" t="str"/>
      <x:c r="I154" s="24" t="str"/>
      <x:c r="J154" s="7" t="str"/>
      <x:c r="K154" s="7" t="str"/>
      <x:c r="L154" s="9" t="str"/>
      <x:c r="M154" s="24" t="str"/>
      <x:c r="N154" s="7" t="str"/>
    </x:row>
  </x:sheetData>
  <x:mergeCells>
    <x:mergeCell ref="A1:N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18" hidden="0" customWidth="1"/>
    <x:col min="4" max="4" width="15" hidden="0" customWidth="1"/>
    <x:col min="5" max="5" width="15" hidden="0" customWidth="1"/>
    <x:col min="6" max="6" width="18" hidden="0" customWidth="1"/>
    <x:col min="7" max="7" width="20" hidden="0" customWidth="1"/>
    <x:col min="8" max="8" width="18" hidden="0" customWidth="1"/>
    <x:col min="9" max="9" width="18" hidden="0" customWidth="1"/>
    <x:col min="10" max="10" width="28" hidden="0" customWidth="1"/>
  </x:cols>
  <x:sheetData>
    <x:row r="1" ht="28" customHeight="1">
      <x:c r="A1" s="4" t="str">
        <x:v>PROYECCIÓN DE NUEVAS COLOCACIONES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>
      <x:c r="A4" s="14" t="str">
        <x:v>Periodo</x:v>
      </x:c>
      <x:c r="B4" s="14" t="str">
        <x:v>Financiador</x:v>
      </x:c>
      <x:c r="C4" s="14" t="str">
        <x:v>Unidades motos grupo</x:v>
      </x:c>
      <x:c r="D4" s="14" t="str">
        <x:v>Penetración</x:v>
      </x:c>
      <x:c r="E4" s="14" t="str">
        <x:v>Participación</x:v>
      </x:c>
      <x:c r="F4" s="14" t="str">
        <x:v>Créditos demandados</x:v>
      </x:c>
      <x:c r="G4" s="14" t="str">
        <x:v>Demanda de colocación</x:v>
      </x:c>
      <x:c r="H4" s="14" t="str">
        <x:v>N° créditos posibles</x:v>
      </x:c>
      <x:c r="I4" s="14" t="str">
        <x:v>Crédito promedio</x:v>
      </x:c>
      <x:c r="J4" s="14" t="str">
        <x:v>Estado</x:v>
      </x:c>
    </x:row>
    <x:row r="5">
      <x:c r="A5" s="26" t="n">
        <x:v>46266</x:v>
      </x:c>
      <x:c r="B5" t="str">
        <x:v>Moto para Todos</x:v>
      </x:c>
      <x:c r="C5" t="n">
        <x:f>SUMIFS(Resultado_Mensual!$D:$D,Resultado_Mensual!$A:$A,$A5)</x:f>
        <x:v>378.99999999999994</x:v>
      </x:c>
      <x:c r="D5" s="21" t="n">
        <x:f>INDEX(Sup_Credito!$B$9:$C$9,1,IF($B5="Moto para Todos",1,2))</x:f>
        <x:v>0.5</x:v>
      </x:c>
      <x:c r="E5" s="21" t="n">
        <x:f>INDEX(Sup_Credito!$B$5:$C$5,1,IF($B5="Moto para Todos",1,2))</x:f>
        <x:v>0.9</x:v>
      </x:c>
      <x:c r="F5" t="n">
        <x:f>C5*D5*E5</x:f>
        <x:v>170.54999999999998</x:v>
      </x:c>
      <x:c r="G5" s="16" t="n">
        <x:f>F5*I5</x:f>
        <x:v>1023299999.9999999</x:v>
      </x:c>
      <x:c r="H5" t="n">
        <x:f>IFERROR(G5/I5,0)</x:f>
        <x:v>170.54999999999998</x:v>
      </x:c>
      <x:c r="I5" s="16" t="n">
        <x:f>INDEX(Sup_Credito!$B$6:$C$6,1,IF($B5="Moto para Todos",1,2))</x:f>
        <x:v>6000000</x:v>
      </x:c>
      <x:c r="J5" t="str">
        <x:f>IF(SUM(Sup_Credito!$B$11:$C$12)=0,"PENDIENTE SALDOS Y CAPITAL","CALCULADO")</x:f>
        <x:v>PENDIENTE SALDOS Y CAPITAL</x:v>
      </x:c>
    </x:row>
    <x:row r="6">
      <x:c r="A6" s="26" t="n">
        <x:v>46266</x:v>
      </x:c>
      <x:c r="B6" t="str">
        <x:v>Verificarte</x:v>
      </x:c>
      <x:c r="C6" t="n">
        <x:f>SUMIFS(Resultado_Mensual!$D:$D,Resultado_Mensual!$A:$A,$A6)</x:f>
        <x:v>378.99999999999994</x:v>
      </x:c>
      <x:c r="D6" s="21" t="n">
        <x:f>INDEX(Sup_Credito!$B$9:$C$9,1,IF($B6="Moto para Todos",1,2))</x:f>
        <x:v>0.5</x:v>
      </x:c>
      <x:c r="E6" s="21" t="n">
        <x:f>INDEX(Sup_Credito!$B$5:$C$5,1,IF($B6="Moto para Todos",1,2))</x:f>
        <x:v>0.1</x:v>
      </x:c>
      <x:c r="F6" t="n">
        <x:f>C6*D6*E6</x:f>
        <x:v>18.95</x:v>
      </x:c>
      <x:c r="G6" s="16" t="n">
        <x:f>F6*I6</x:f>
        <x:v>113700000</x:v>
      </x:c>
      <x:c r="H6" t="n">
        <x:f>IFERROR(G6/I6,0)</x:f>
        <x:v>18.95</x:v>
      </x:c>
      <x:c r="I6" s="16" t="n">
        <x:f>INDEX(Sup_Credito!$B$6:$C$6,1,IF($B6="Moto para Todos",1,2))</x:f>
        <x:v>6000000</x:v>
      </x:c>
      <x:c r="J6" t="str">
        <x:f>IF(SUM(Sup_Credito!$B$11:$C$12)=0,"PENDIENTE SALDOS Y CAPITAL","CALCULADO")</x:f>
        <x:v>PENDIENTE SALDOS Y CAPITAL</x:v>
      </x:c>
    </x:row>
    <x:row r="7">
      <x:c r="A7" s="26" t="n">
        <x:v>46296</x:v>
      </x:c>
      <x:c r="B7" t="str">
        <x:v>Moto para Todos</x:v>
      </x:c>
      <x:c r="C7" t="n">
        <x:f>SUMIFS(Resultado_Mensual!$D:$D,Resultado_Mensual!$A:$A,$A7)</x:f>
        <x:v>386.8021978021972</x:v>
      </x:c>
      <x:c r="D7" s="21" t="n">
        <x:f>INDEX(Sup_Credito!$B$9:$C$9,1,IF($B7="Moto para Todos",1,2))</x:f>
        <x:v>0.5</x:v>
      </x:c>
      <x:c r="E7" s="21" t="n">
        <x:f>INDEX(Sup_Credito!$B$5:$C$5,1,IF($B7="Moto para Todos",1,2))</x:f>
        <x:v>0.9</x:v>
      </x:c>
      <x:c r="F7" t="n">
        <x:f>C7*D7*E7</x:f>
        <x:v>174.06098901098875</x:v>
      </x:c>
      <x:c r="G7" s="16" t="n">
        <x:f>F7*I7</x:f>
        <x:v>1044365934.0659325</x:v>
      </x:c>
      <x:c r="H7" t="n">
        <x:f>IFERROR(G7/I7,0)</x:f>
        <x:v>174.06098901098875</x:v>
      </x:c>
      <x:c r="I7" s="16" t="n">
        <x:f>INDEX(Sup_Credito!$B$6:$C$6,1,IF($B7="Moto para Todos",1,2))</x:f>
        <x:v>6000000</x:v>
      </x:c>
      <x:c r="J7" t="str">
        <x:f>IF(SUM(Sup_Credito!$B$11:$C$12)=0,"PENDIENTE SALDOS Y CAPITAL","CALCULADO")</x:f>
        <x:v>PENDIENTE SALDOS Y CAPITAL</x:v>
      </x:c>
    </x:row>
    <x:row r="8">
      <x:c r="A8" s="26" t="n">
        <x:v>46296</x:v>
      </x:c>
      <x:c r="B8" t="str">
        <x:v>Verificarte</x:v>
      </x:c>
      <x:c r="C8" t="n">
        <x:f>SUMIFS(Resultado_Mensual!$D:$D,Resultado_Mensual!$A:$A,$A8)</x:f>
        <x:v>386.8021978021972</x:v>
      </x:c>
      <x:c r="D8" s="21" t="n">
        <x:f>INDEX(Sup_Credito!$B$9:$C$9,1,IF($B8="Moto para Todos",1,2))</x:f>
        <x:v>0.5</x:v>
      </x:c>
      <x:c r="E8" s="21" t="n">
        <x:f>INDEX(Sup_Credito!$B$5:$C$5,1,IF($B8="Moto para Todos",1,2))</x:f>
        <x:v>0.1</x:v>
      </x:c>
      <x:c r="F8" t="n">
        <x:f>C8*D8*E8</x:f>
        <x:v>19.34010989010986</x:v>
      </x:c>
      <x:c r="G8" s="16" t="n">
        <x:f>F8*I8</x:f>
        <x:v>116040659.34065917</x:v>
      </x:c>
      <x:c r="H8" t="n">
        <x:f>IFERROR(G8/I8,0)</x:f>
        <x:v>19.34010989010986</x:v>
      </x:c>
      <x:c r="I8" s="16" t="n">
        <x:f>INDEX(Sup_Credito!$B$6:$C$6,1,IF($B8="Moto para Todos",1,2))</x:f>
        <x:v>6000000</x:v>
      </x:c>
      <x:c r="J8" t="str">
        <x:f>IF(SUM(Sup_Credito!$B$11:$C$12)=0,"PENDIENTE SALDOS Y CAPITAL","CALCULADO")</x:f>
        <x:v>PENDIENTE SALDOS Y CAPITAL</x:v>
      </x:c>
    </x:row>
    <x:row r="9">
      <x:c r="A9" s="26" t="n">
        <x:v>46327</x:v>
      </x:c>
      <x:c r="B9" t="str">
        <x:v>Moto para Todos</x:v>
      </x:c>
      <x:c r="C9" t="n">
        <x:f>SUMIFS(Resultado_Mensual!$D:$D,Resultado_Mensual!$A:$A,$A9)</x:f>
        <x:v>394.86446886446834</x:v>
      </x:c>
      <x:c r="D9" s="21" t="n">
        <x:f>INDEX(Sup_Credito!$B$9:$C$9,1,IF($B9="Moto para Todos",1,2))</x:f>
        <x:v>0.5</x:v>
      </x:c>
      <x:c r="E9" s="21" t="n">
        <x:f>INDEX(Sup_Credito!$B$5:$C$5,1,IF($B9="Moto para Todos",1,2))</x:f>
        <x:v>0.9</x:v>
      </x:c>
      <x:c r="F9" t="n">
        <x:f>C9*D9*E9</x:f>
        <x:v>177.68901098901077</x:v>
      </x:c>
      <x:c r="G9" s="16" t="n">
        <x:f>F9*I9</x:f>
        <x:v>1066134065.9340646</x:v>
      </x:c>
      <x:c r="H9" t="n">
        <x:f>IFERROR(G9/I9,0)</x:f>
        <x:v>177.68901098901077</x:v>
      </x:c>
      <x:c r="I9" s="16" t="n">
        <x:f>INDEX(Sup_Credito!$B$6:$C$6,1,IF($B9="Moto para Todos",1,2))</x:f>
        <x:v>6000000</x:v>
      </x:c>
      <x:c r="J9" t="str">
        <x:f>IF(SUM(Sup_Credito!$B$11:$C$12)=0,"PENDIENTE SALDOS Y CAPITAL","CALCULADO")</x:f>
        <x:v>PENDIENTE SALDOS Y CAPITAL</x:v>
      </x:c>
    </x:row>
    <x:row r="10">
      <x:c r="A10" s="26" t="n">
        <x:v>46327</x:v>
      </x:c>
      <x:c r="B10" t="str">
        <x:v>Verificarte</x:v>
      </x:c>
      <x:c r="C10" t="n">
        <x:f>SUMIFS(Resultado_Mensual!$D:$D,Resultado_Mensual!$A:$A,$A10)</x:f>
        <x:v>394.86446886446834</x:v>
      </x:c>
      <x:c r="D10" s="21" t="n">
        <x:f>INDEX(Sup_Credito!$B$9:$C$9,1,IF($B10="Moto para Todos",1,2))</x:f>
        <x:v>0.5</x:v>
      </x:c>
      <x:c r="E10" s="21" t="n">
        <x:f>INDEX(Sup_Credito!$B$5:$C$5,1,IF($B10="Moto para Todos",1,2))</x:f>
        <x:v>0.1</x:v>
      </x:c>
      <x:c r="F10" t="n">
        <x:f>C10*D10*E10</x:f>
        <x:v>19.743223443223417</x:v>
      </x:c>
      <x:c r="G10" s="16" t="n">
        <x:f>F10*I10</x:f>
        <x:v>118459340.6593405</x:v>
      </x:c>
      <x:c r="H10" t="n">
        <x:f>IFERROR(G10/I10,0)</x:f>
        <x:v>19.743223443223417</x:v>
      </x:c>
      <x:c r="I10" s="16" t="n">
        <x:f>INDEX(Sup_Credito!$B$6:$C$6,1,IF($B10="Moto para Todos",1,2))</x:f>
        <x:v>6000000</x:v>
      </x:c>
      <x:c r="J10" t="str">
        <x:f>IF(SUM(Sup_Credito!$B$11:$C$12)=0,"PENDIENTE SALDOS Y CAPITAL","CALCULADO")</x:f>
        <x:v>PENDIENTE SALDOS Y CAPITAL</x:v>
      </x:c>
    </x:row>
    <x:row r="11">
      <x:c r="A11" s="26" t="n">
        <x:v>46357</x:v>
      </x:c>
      <x:c r="B11" t="str">
        <x:v>Moto para Todos</x:v>
      </x:c>
      <x:c r="C11" t="n">
        <x:f>SUMIFS(Resultado_Mensual!$D:$D,Resultado_Mensual!$A:$A,$A11)</x:f>
        <x:v>402.6666666666667</x:v>
      </x:c>
      <x:c r="D11" s="21" t="n">
        <x:f>INDEX(Sup_Credito!$B$9:$C$9,1,IF($B11="Moto para Todos",1,2))</x:f>
        <x:v>0.5</x:v>
      </x:c>
      <x:c r="E11" s="21" t="n">
        <x:f>INDEX(Sup_Credito!$B$5:$C$5,1,IF($B11="Moto para Todos",1,2))</x:f>
        <x:v>0.9</x:v>
      </x:c>
      <x:c r="F11" t="n">
        <x:f>C11*D11*E11</x:f>
        <x:v>181.20000000000002</x:v>
      </x:c>
      <x:c r="G11" s="16" t="n">
        <x:f>F11*I11</x:f>
        <x:v>1087200000</x:v>
      </x:c>
      <x:c r="H11" t="n">
        <x:f>IFERROR(G11/I11,0)</x:f>
        <x:v>181.2</x:v>
      </x:c>
      <x:c r="I11" s="16" t="n">
        <x:f>INDEX(Sup_Credito!$B$6:$C$6,1,IF($B11="Moto para Todos",1,2))</x:f>
        <x:v>6000000</x:v>
      </x:c>
      <x:c r="J11" t="str">
        <x:f>IF(SUM(Sup_Credito!$B$11:$C$12)=0,"PENDIENTE SALDOS Y CAPITAL","CALCULADO")</x:f>
        <x:v>PENDIENTE SALDOS Y CAPITAL</x:v>
      </x:c>
    </x:row>
    <x:row r="12">
      <x:c r="A12" s="26" t="n">
        <x:v>46357</x:v>
      </x:c>
      <x:c r="B12" t="str">
        <x:v>Verificarte</x:v>
      </x:c>
      <x:c r="C12" t="n">
        <x:f>SUMIFS(Resultado_Mensual!$D:$D,Resultado_Mensual!$A:$A,$A12)</x:f>
        <x:v>402.6666666666667</x:v>
      </x:c>
      <x:c r="D12" s="21" t="n">
        <x:f>INDEX(Sup_Credito!$B$9:$C$9,1,IF($B12="Moto para Todos",1,2))</x:f>
        <x:v>0.5</x:v>
      </x:c>
      <x:c r="E12" s="21" t="n">
        <x:f>INDEX(Sup_Credito!$B$5:$C$5,1,IF($B12="Moto para Todos",1,2))</x:f>
        <x:v>0.1</x:v>
      </x:c>
      <x:c r="F12" t="n">
        <x:f>C12*D12*E12</x:f>
        <x:v>20.133333333333336</x:v>
      </x:c>
      <x:c r="G12" s="16" t="n">
        <x:f>F12*I12</x:f>
        <x:v>120800000.00000001</x:v>
      </x:c>
      <x:c r="H12" t="n">
        <x:f>IFERROR(G12/I12,0)</x:f>
        <x:v>20.133333333333336</x:v>
      </x:c>
      <x:c r="I12" s="16" t="n">
        <x:f>INDEX(Sup_Credito!$B$6:$C$6,1,IF($B12="Moto para Todos",1,2))</x:f>
        <x:v>6000000</x:v>
      </x:c>
      <x:c r="J12" t="str">
        <x:f>IF(SUM(Sup_Credito!$B$11:$C$12)=0,"PENDIENTE SALDOS Y CAPITAL","CALCULADO")</x:f>
        <x:v>PENDIENTE SALDOS Y CAPITAL</x:v>
      </x:c>
    </x:row>
    <x:row r="13">
      <x:c r="A13" s="26" t="n">
        <x:v>46388</x:v>
      </x:c>
      <x:c r="B13" t="str">
        <x:v>Moto para Todos</x:v>
      </x:c>
      <x:c r="C13" t="n">
        <x:f>SUMIFS(Resultado_Mensual!$D:$D,Resultado_Mensual!$A:$A,$A13)</x:f>
        <x:v>410.7289377289368</x:v>
      </x:c>
      <x:c r="D13" s="21" t="n">
        <x:f>INDEX(Sup_Credito!$B$9:$C$9,1,IF($B13="Moto para Todos",1,2))</x:f>
        <x:v>0.5</x:v>
      </x:c>
      <x:c r="E13" s="21" t="n">
        <x:f>INDEX(Sup_Credito!$B$5:$C$5,1,IF($B13="Moto para Todos",1,2))</x:f>
        <x:v>0.9</x:v>
      </x:c>
      <x:c r="F13" t="n">
        <x:f>C13*D13*E13</x:f>
        <x:v>184.82802197802155</x:v>
      </x:c>
      <x:c r="G13" s="16" t="n">
        <x:f>F13*I13</x:f>
        <x:v>1108968131.8681293</x:v>
      </x:c>
      <x:c r="H13" t="n">
        <x:f>IFERROR(G13/I13,0)</x:f>
        <x:v>184.82802197802155</x:v>
      </x:c>
      <x:c r="I13" s="16" t="n">
        <x:f>INDEX(Sup_Credito!$B$6:$C$6,1,IF($B13="Moto para Todos",1,2))</x:f>
        <x:v>6000000</x:v>
      </x:c>
      <x:c r="J13" t="str">
        <x:f>IF(SUM(Sup_Credito!$B$11:$C$12)=0,"PENDIENTE SALDOS Y CAPITAL","CALCULADO")</x:f>
        <x:v>PENDIENTE SALDOS Y CAPITAL</x:v>
      </x:c>
    </x:row>
    <x:row r="14">
      <x:c r="A14" s="26" t="n">
        <x:v>46388</x:v>
      </x:c>
      <x:c r="B14" t="str">
        <x:v>Verificarte</x:v>
      </x:c>
      <x:c r="C14" t="n">
        <x:f>SUMIFS(Resultado_Mensual!$D:$D,Resultado_Mensual!$A:$A,$A14)</x:f>
        <x:v>410.7289377289368</x:v>
      </x:c>
      <x:c r="D14" s="21" t="n">
        <x:f>INDEX(Sup_Credito!$B$9:$C$9,1,IF($B14="Moto para Todos",1,2))</x:f>
        <x:v>0.5</x:v>
      </x:c>
      <x:c r="E14" s="21" t="n">
        <x:f>INDEX(Sup_Credito!$B$5:$C$5,1,IF($B14="Moto para Todos",1,2))</x:f>
        <x:v>0.1</x:v>
      </x:c>
      <x:c r="F14" t="n">
        <x:f>C14*D14*E14</x:f>
        <x:v>20.53644688644684</x:v>
      </x:c>
      <x:c r="G14" s="16" t="n">
        <x:f>F14*I14</x:f>
        <x:v>123218681.31868103</x:v>
      </x:c>
      <x:c r="H14" t="n">
        <x:f>IFERROR(G14/I14,0)</x:f>
        <x:v>20.53644688644684</x:v>
      </x:c>
      <x:c r="I14" s="16" t="n">
        <x:f>INDEX(Sup_Credito!$B$6:$C$6,1,IF($B14="Moto para Todos",1,2))</x:f>
        <x:v>6000000</x:v>
      </x:c>
      <x:c r="J14" t="str">
        <x:f>IF(SUM(Sup_Credito!$B$11:$C$12)=0,"PENDIENTE SALDOS Y CAPITAL","CALCULADO")</x:f>
        <x:v>PENDIENTE SALDOS Y CAPITAL</x:v>
      </x:c>
    </x:row>
    <x:row r="15">
      <x:c r="A15" s="26" t="n">
        <x:v>46419</x:v>
      </x:c>
      <x:c r="B15" t="str">
        <x:v>Moto para Todos</x:v>
      </x:c>
      <x:c r="C15" t="n">
        <x:f>SUMIFS(Resultado_Mensual!$D:$D,Resultado_Mensual!$A:$A,$A15)</x:f>
        <x:v>418.791208791209</x:v>
      </x:c>
      <x:c r="D15" s="21" t="n">
        <x:f>INDEX(Sup_Credito!$B$9:$C$9,1,IF($B15="Moto para Todos",1,2))</x:f>
        <x:v>0.5</x:v>
      </x:c>
      <x:c r="E15" s="21" t="n">
        <x:f>INDEX(Sup_Credito!$B$5:$C$5,1,IF($B15="Moto para Todos",1,2))</x:f>
        <x:v>0.9</x:v>
      </x:c>
      <x:c r="F15" t="n">
        <x:f>C15*D15*E15</x:f>
        <x:v>188.45604395604406</x:v>
      </x:c>
      <x:c r="G15" s="16" t="n">
        <x:f>F15*I15</x:f>
        <x:v>1130736263.7362642</x:v>
      </x:c>
      <x:c r="H15" t="n">
        <x:f>IFERROR(G15/I15,0)</x:f>
        <x:v>188.45604395604403</x:v>
      </x:c>
      <x:c r="I15" s="16" t="n">
        <x:f>INDEX(Sup_Credito!$B$6:$C$6,1,IF($B15="Moto para Todos",1,2))</x:f>
        <x:v>6000000</x:v>
      </x:c>
      <x:c r="J15" t="str">
        <x:f>IF(SUM(Sup_Credito!$B$11:$C$12)=0,"PENDIENTE SALDOS Y CAPITAL","CALCULADO")</x:f>
        <x:v>PENDIENTE SALDOS Y CAPITAL</x:v>
      </x:c>
    </x:row>
    <x:row r="16">
      <x:c r="A16" s="26" t="n">
        <x:v>46419</x:v>
      </x:c>
      <x:c r="B16" t="str">
        <x:v>Verificarte</x:v>
      </x:c>
      <x:c r="C16" t="n">
        <x:f>SUMIFS(Resultado_Mensual!$D:$D,Resultado_Mensual!$A:$A,$A16)</x:f>
        <x:v>418.791208791209</x:v>
      </x:c>
      <x:c r="D16" s="21" t="n">
        <x:f>INDEX(Sup_Credito!$B$9:$C$9,1,IF($B16="Moto para Todos",1,2))</x:f>
        <x:v>0.5</x:v>
      </x:c>
      <x:c r="E16" s="21" t="n">
        <x:f>INDEX(Sup_Credito!$B$5:$C$5,1,IF($B16="Moto para Todos",1,2))</x:f>
        <x:v>0.1</x:v>
      </x:c>
      <x:c r="F16" t="n">
        <x:f>C16*D16*E16</x:f>
        <x:v>20.939560439560452</x:v>
      </x:c>
      <x:c r="G16" s="16" t="n">
        <x:f>F16*I16</x:f>
        <x:v>125637362.63736272</x:v>
      </x:c>
      <x:c r="H16" t="n">
        <x:f>IFERROR(G16/I16,0)</x:f>
        <x:v>20.939560439560452</x:v>
      </x:c>
      <x:c r="I16" s="16" t="n">
        <x:f>INDEX(Sup_Credito!$B$6:$C$6,1,IF($B16="Moto para Todos",1,2))</x:f>
        <x:v>6000000</x:v>
      </x:c>
      <x:c r="J16" t="str">
        <x:f>IF(SUM(Sup_Credito!$B$11:$C$12)=0,"PENDIENTE SALDOS Y CAPITAL","CALCULADO")</x:f>
        <x:v>PENDIENTE SALDOS Y CAPITAL</x:v>
      </x:c>
    </x:row>
    <x:row r="17">
      <x:c r="A17" s="26" t="n">
        <x:v>46447</x:v>
      </x:c>
      <x:c r="B17" t="str">
        <x:v>Moto para Todos</x:v>
      </x:c>
      <x:c r="C17" t="n">
        <x:f>SUMIFS(Resultado_Mensual!$D:$D,Resultado_Mensual!$A:$A,$A17)</x:f>
        <x:v>426.07326007326037</x:v>
      </x:c>
      <x:c r="D17" s="21" t="n">
        <x:f>INDEX(Sup_Credito!$B$9:$C$9,1,IF($B17="Moto para Todos",1,2))</x:f>
        <x:v>0.5</x:v>
      </x:c>
      <x:c r="E17" s="21" t="n">
        <x:f>INDEX(Sup_Credito!$B$5:$C$5,1,IF($B17="Moto para Todos",1,2))</x:f>
        <x:v>0.9</x:v>
      </x:c>
      <x:c r="F17" t="n">
        <x:f>C17*D17*E17</x:f>
        <x:v>191.73296703296717</x:v>
      </x:c>
      <x:c r="G17" s="16" t="n">
        <x:f>F17*I17</x:f>
        <x:v>1150397802.197803</x:v>
      </x:c>
      <x:c r="H17" t="n">
        <x:f>IFERROR(G17/I17,0)</x:f>
        <x:v>191.73296703296717</x:v>
      </x:c>
      <x:c r="I17" s="16" t="n">
        <x:f>INDEX(Sup_Credito!$B$6:$C$6,1,IF($B17="Moto para Todos",1,2))</x:f>
        <x:v>6000000</x:v>
      </x:c>
      <x:c r="J17" t="str">
        <x:f>IF(SUM(Sup_Credito!$B$11:$C$12)=0,"PENDIENTE SALDOS Y CAPITAL","CALCULADO")</x:f>
        <x:v>PENDIENTE SALDOS Y CAPITAL</x:v>
      </x:c>
    </x:row>
    <x:row r="18">
      <x:c r="A18" s="26" t="n">
        <x:v>46447</x:v>
      </x:c>
      <x:c r="B18" t="str">
        <x:v>Verificarte</x:v>
      </x:c>
      <x:c r="C18" t="n">
        <x:f>SUMIFS(Resultado_Mensual!$D:$D,Resultado_Mensual!$A:$A,$A18)</x:f>
        <x:v>426.07326007326037</x:v>
      </x:c>
      <x:c r="D18" s="21" t="n">
        <x:f>INDEX(Sup_Credito!$B$9:$C$9,1,IF($B18="Moto para Todos",1,2))</x:f>
        <x:v>0.5</x:v>
      </x:c>
      <x:c r="E18" s="21" t="n">
        <x:f>INDEX(Sup_Credito!$B$5:$C$5,1,IF($B18="Moto para Todos",1,2))</x:f>
        <x:v>0.1</x:v>
      </x:c>
      <x:c r="F18" t="n">
        <x:f>C18*D18*E18</x:f>
        <x:v>21.30366300366302</x:v>
      </x:c>
      <x:c r="G18" s="16" t="n">
        <x:f>F18*I18</x:f>
        <x:v>127821978.02197811</x:v>
      </x:c>
      <x:c r="H18" t="n">
        <x:f>IFERROR(G18/I18,0)</x:f>
        <x:v>21.30366300366302</x:v>
      </x:c>
      <x:c r="I18" s="16" t="n">
        <x:f>INDEX(Sup_Credito!$B$6:$C$6,1,IF($B18="Moto para Todos",1,2))</x:f>
        <x:v>6000000</x:v>
      </x:c>
      <x:c r="J18" t="str">
        <x:f>IF(SUM(Sup_Credito!$B$11:$C$12)=0,"PENDIENTE SALDOS Y CAPITAL","CALCULADO")</x:f>
        <x:v>PENDIENTE SALDOS Y CAPITAL</x:v>
      </x:c>
    </x:row>
    <x:row r="19">
      <x:c r="A19" s="26" t="n">
        <x:v>46478</x:v>
      </x:c>
      <x:c r="B19" t="str">
        <x:v>Moto para Todos</x:v>
      </x:c>
      <x:c r="C19" t="n">
        <x:f>SUMIFS(Resultado_Mensual!$D:$D,Resultado_Mensual!$A:$A,$A19)</x:f>
        <x:v>434.1355311355316</x:v>
      </x:c>
      <x:c r="D19" s="21" t="n">
        <x:f>INDEX(Sup_Credito!$B$9:$C$9,1,IF($B19="Moto para Todos",1,2))</x:f>
        <x:v>0.5</x:v>
      </x:c>
      <x:c r="E19" s="21" t="n">
        <x:f>INDEX(Sup_Credito!$B$5:$C$5,1,IF($B19="Moto para Todos",1,2))</x:f>
        <x:v>0.9</x:v>
      </x:c>
      <x:c r="F19" t="n">
        <x:f>C19*D19*E19</x:f>
        <x:v>195.36098901098921</x:v>
      </x:c>
      <x:c r="G19" s="16" t="n">
        <x:f>F19*I19</x:f>
        <x:v>1172165934.0659354</x:v>
      </x:c>
      <x:c r="H19" t="n">
        <x:f>IFERROR(G19/I19,0)</x:f>
        <x:v>195.36098901098921</x:v>
      </x:c>
      <x:c r="I19" s="16" t="n">
        <x:f>INDEX(Sup_Credito!$B$6:$C$6,1,IF($B19="Moto para Todos",1,2))</x:f>
        <x:v>6000000</x:v>
      </x:c>
      <x:c r="J19" t="str">
        <x:f>IF(SUM(Sup_Credito!$B$11:$C$12)=0,"PENDIENTE SALDOS Y CAPITAL","CALCULADO")</x:f>
        <x:v>PENDIENTE SALDOS Y CAPITAL</x:v>
      </x:c>
    </x:row>
    <x:row r="20">
      <x:c r="A20" s="26" t="n">
        <x:v>46478</x:v>
      </x:c>
      <x:c r="B20" t="str">
        <x:v>Verificarte</x:v>
      </x:c>
      <x:c r="C20" t="n">
        <x:f>SUMIFS(Resultado_Mensual!$D:$D,Resultado_Mensual!$A:$A,$A20)</x:f>
        <x:v>434.1355311355316</x:v>
      </x:c>
      <x:c r="D20" s="21" t="n">
        <x:f>INDEX(Sup_Credito!$B$9:$C$9,1,IF($B20="Moto para Todos",1,2))</x:f>
        <x:v>0.5</x:v>
      </x:c>
      <x:c r="E20" s="21" t="n">
        <x:f>INDEX(Sup_Credito!$B$5:$C$5,1,IF($B20="Moto para Todos",1,2))</x:f>
        <x:v>0.1</x:v>
      </x:c>
      <x:c r="F20" t="n">
        <x:f>C20*D20*E20</x:f>
        <x:v>21.706776556776582</x:v>
      </x:c>
      <x:c r="G20" s="16" t="n">
        <x:f>F20*I20</x:f>
        <x:v>130240659.34065948</x:v>
      </x:c>
      <x:c r="H20" t="n">
        <x:f>IFERROR(G20/I20,0)</x:f>
        <x:v>21.706776556776582</x:v>
      </x:c>
      <x:c r="I20" s="16" t="n">
        <x:f>INDEX(Sup_Credito!$B$6:$C$6,1,IF($B20="Moto para Todos",1,2))</x:f>
        <x:v>6000000</x:v>
      </x:c>
      <x:c r="J20" t="str">
        <x:f>IF(SUM(Sup_Credito!$B$11:$C$12)=0,"PENDIENTE SALDOS Y CAPITAL","CALCULADO")</x:f>
        <x:v>PENDIENTE SALDOS Y CAPITAL</x:v>
      </x:c>
    </x:row>
    <x:row r="21">
      <x:c r="A21" s="26" t="n">
        <x:v>46508</x:v>
      </x:c>
      <x:c r="B21" t="str">
        <x:v>Moto para Todos</x:v>
      </x:c>
      <x:c r="C21" t="n">
        <x:f>SUMIFS(Resultado_Mensual!$D:$D,Resultado_Mensual!$A:$A,$A21)</x:f>
        <x:v>441.9377289377288</x:v>
      </x:c>
      <x:c r="D21" s="21" t="n">
        <x:f>INDEX(Sup_Credito!$B$9:$C$9,1,IF($B21="Moto para Todos",1,2))</x:f>
        <x:v>0.5</x:v>
      </x:c>
      <x:c r="E21" s="21" t="n">
        <x:f>INDEX(Sup_Credito!$B$5:$C$5,1,IF($B21="Moto para Todos",1,2))</x:f>
        <x:v>0.9</x:v>
      </x:c>
      <x:c r="F21" t="n">
        <x:f>C21*D21*E21</x:f>
        <x:v>198.87197802197798</x:v>
      </x:c>
      <x:c r="G21" s="16" t="n">
        <x:f>F21*I21</x:f>
        <x:v>1193231868.131868</x:v>
      </x:c>
      <x:c r="H21" t="n">
        <x:f>IFERROR(G21/I21,0)</x:f>
        <x:v>198.87197802197798</x:v>
      </x:c>
      <x:c r="I21" s="16" t="n">
        <x:f>INDEX(Sup_Credito!$B$6:$C$6,1,IF($B21="Moto para Todos",1,2))</x:f>
        <x:v>6000000</x:v>
      </x:c>
      <x:c r="J21" t="str">
        <x:f>IF(SUM(Sup_Credito!$B$11:$C$12)=0,"PENDIENTE SALDOS Y CAPITAL","CALCULADO")</x:f>
        <x:v>PENDIENTE SALDOS Y CAPITAL</x:v>
      </x:c>
    </x:row>
    <x:row r="22">
      <x:c r="A22" s="26" t="n">
        <x:v>46508</x:v>
      </x:c>
      <x:c r="B22" t="str">
        <x:v>Verificarte</x:v>
      </x:c>
      <x:c r="C22" t="n">
        <x:f>SUMIFS(Resultado_Mensual!$D:$D,Resultado_Mensual!$A:$A,$A22)</x:f>
        <x:v>441.9377289377288</x:v>
      </x:c>
      <x:c r="D22" s="21" t="n">
        <x:f>INDEX(Sup_Credito!$B$9:$C$9,1,IF($B22="Moto para Todos",1,2))</x:f>
        <x:v>0.5</x:v>
      </x:c>
      <x:c r="E22" s="21" t="n">
        <x:f>INDEX(Sup_Credito!$B$5:$C$5,1,IF($B22="Moto para Todos",1,2))</x:f>
        <x:v>0.1</x:v>
      </x:c>
      <x:c r="F22" t="n">
        <x:f>C22*D22*E22</x:f>
        <x:v>22.096886446886444</x:v>
      </x:c>
      <x:c r="G22" s="16" t="n">
        <x:f>F22*I22</x:f>
        <x:v>132581318.68131867</x:v>
      </x:c>
      <x:c r="H22" t="n">
        <x:f>IFERROR(G22/I22,0)</x:f>
        <x:v>22.096886446886444</x:v>
      </x:c>
      <x:c r="I22" s="16" t="n">
        <x:f>INDEX(Sup_Credito!$B$6:$C$6,1,IF($B22="Moto para Todos",1,2))</x:f>
        <x:v>6000000</x:v>
      </x:c>
      <x:c r="J22" t="str">
        <x:f>IF(SUM(Sup_Credito!$B$11:$C$12)=0,"PENDIENTE SALDOS Y CAPITAL","CALCULADO")</x:f>
        <x:v>PENDIENTE SALDOS Y CAPITAL</x:v>
      </x:c>
    </x:row>
    <x:row r="23">
      <x:c r="A23" s="26" t="n">
        <x:v>46539</x:v>
      </x:c>
      <x:c r="B23" t="str">
        <x:v>Moto para Todos</x:v>
      </x:c>
      <x:c r="C23" t="n">
        <x:f>SUMIFS(Resultado_Mensual!$D:$D,Resultado_Mensual!$A:$A,$A23)</x:f>
        <x:v>450</x:v>
      </x:c>
      <x:c r="D23" s="21" t="n">
        <x:f>INDEX(Sup_Credito!$B$9:$C$9,1,IF($B23="Moto para Todos",1,2))</x:f>
        <x:v>0.5</x:v>
      </x:c>
      <x:c r="E23" s="21" t="n">
        <x:f>INDEX(Sup_Credito!$B$5:$C$5,1,IF($B23="Moto para Todos",1,2))</x:f>
        <x:v>0.9</x:v>
      </x:c>
      <x:c r="F23" t="n">
        <x:f>C23*D23*E23</x:f>
        <x:v>202.5</x:v>
      </x:c>
      <x:c r="G23" s="16" t="n">
        <x:f>F23*I23</x:f>
        <x:v>1215000000</x:v>
      </x:c>
      <x:c r="H23" t="n">
        <x:f>IFERROR(G23/I23,0)</x:f>
        <x:v>202.5</x:v>
      </x:c>
      <x:c r="I23" s="16" t="n">
        <x:f>INDEX(Sup_Credito!$B$6:$C$6,1,IF($B23="Moto para Todos",1,2))</x:f>
        <x:v>6000000</x:v>
      </x:c>
      <x:c r="J23" t="str">
        <x:f>IF(SUM(Sup_Credito!$B$11:$C$12)=0,"PENDIENTE SALDOS Y CAPITAL","CALCULADO")</x:f>
        <x:v>PENDIENTE SALDOS Y CAPITAL</x:v>
      </x:c>
    </x:row>
    <x:row r="24">
      <x:c r="A24" s="26" t="n">
        <x:v>46539</x:v>
      </x:c>
      <x:c r="B24" t="str">
        <x:v>Verificarte</x:v>
      </x:c>
      <x:c r="C24" t="n">
        <x:f>SUMIFS(Resultado_Mensual!$D:$D,Resultado_Mensual!$A:$A,$A24)</x:f>
        <x:v>450</x:v>
      </x:c>
      <x:c r="D24" s="21" t="n">
        <x:f>INDEX(Sup_Credito!$B$9:$C$9,1,IF($B24="Moto para Todos",1,2))</x:f>
        <x:v>0.5</x:v>
      </x:c>
      <x:c r="E24" s="21" t="n">
        <x:f>INDEX(Sup_Credito!$B$5:$C$5,1,IF($B24="Moto para Todos",1,2))</x:f>
        <x:v>0.1</x:v>
      </x:c>
      <x:c r="F24" t="n">
        <x:f>C24*D24*E24</x:f>
        <x:v>22.5</x:v>
      </x:c>
      <x:c r="G24" s="16" t="n">
        <x:f>F24*I24</x:f>
        <x:v>135000000</x:v>
      </x:c>
      <x:c r="H24" t="n">
        <x:f>IFERROR(G24/I24,0)</x:f>
        <x:v>22.5</x:v>
      </x:c>
      <x:c r="I24" s="16" t="n">
        <x:f>INDEX(Sup_Credito!$B$6:$C$6,1,IF($B24="Moto para Todos",1,2))</x:f>
        <x:v>6000000</x:v>
      </x:c>
      <x:c r="J24" t="str">
        <x:f>IF(SUM(Sup_Credito!$B$11:$C$12)=0,"PENDIENTE SALDOS Y CAPITAL","CALCULADO")</x:f>
        <x:v>PENDIENTE SALDOS Y CAPITAL</x:v>
      </x:c>
    </x:row>
    <x:row r="25">
      <x:c r="A25" s="26" t="n">
        <x:v>46569</x:v>
      </x:c>
      <x:c r="B25" t="str">
        <x:v>Moto para Todos</x:v>
      </x:c>
      <x:c r="C25" t="n">
        <x:f>SUMIFS(Resultado_Mensual!$D:$D,Resultado_Mensual!$A:$A,$A25)</x:f>
        <x:v>458.1967213114755</x:v>
      </x:c>
      <x:c r="D25" s="21" t="n">
        <x:f>INDEX(Sup_Credito!$B$9:$C$9,1,IF($B25="Moto para Todos",1,2))</x:f>
        <x:v>0.5</x:v>
      </x:c>
      <x:c r="E25" s="21" t="n">
        <x:f>INDEX(Sup_Credito!$B$5:$C$5,1,IF($B25="Moto para Todos",1,2))</x:f>
        <x:v>0.9</x:v>
      </x:c>
      <x:c r="F25" t="n">
        <x:f>C25*D25*E25</x:f>
        <x:v>206.18852459016398</x:v>
      </x:c>
      <x:c r="G25" s="16" t="n">
        <x:f>F25*I25</x:f>
        <x:v>1237131147.540984</x:v>
      </x:c>
      <x:c r="H25" t="n">
        <x:f>IFERROR(G25/I25,0)</x:f>
        <x:v>206.18852459016398</x:v>
      </x:c>
      <x:c r="I25" s="16" t="n">
        <x:f>INDEX(Sup_Credito!$B$6:$C$6,1,IF($B25="Moto para Todos",1,2))</x:f>
        <x:v>6000000</x:v>
      </x:c>
      <x:c r="J25" t="str">
        <x:f>IF(SUM(Sup_Credito!$B$11:$C$12)=0,"PENDIENTE SALDOS Y CAPITAL","CALCULADO")</x:f>
        <x:v>PENDIENTE SALDOS Y CAPITAL</x:v>
      </x:c>
    </x:row>
    <x:row r="26">
      <x:c r="A26" s="26" t="n">
        <x:v>46569</x:v>
      </x:c>
      <x:c r="B26" t="str">
        <x:v>Verificarte</x:v>
      </x:c>
      <x:c r="C26" t="n">
        <x:f>SUMIFS(Resultado_Mensual!$D:$D,Resultado_Mensual!$A:$A,$A26)</x:f>
        <x:v>458.1967213114755</x:v>
      </x:c>
      <x:c r="D26" s="21" t="n">
        <x:f>INDEX(Sup_Credito!$B$9:$C$9,1,IF($B26="Moto para Todos",1,2))</x:f>
        <x:v>0.5</x:v>
      </x:c>
      <x:c r="E26" s="21" t="n">
        <x:f>INDEX(Sup_Credito!$B$5:$C$5,1,IF($B26="Moto para Todos",1,2))</x:f>
        <x:v>0.1</x:v>
      </x:c>
      <x:c r="F26" t="n">
        <x:f>C26*D26*E26</x:f>
        <x:v>22.909836065573778</x:v>
      </x:c>
      <x:c r="G26" s="16" t="n">
        <x:f>F26*I26</x:f>
        <x:v>137459016.39344266</x:v>
      </x:c>
      <x:c r="H26" t="n">
        <x:f>IFERROR(G26/I26,0)</x:f>
        <x:v>22.909836065573778</x:v>
      </x:c>
      <x:c r="I26" s="16" t="n">
        <x:f>INDEX(Sup_Credito!$B$6:$C$6,1,IF($B26="Moto para Todos",1,2))</x:f>
        <x:v>6000000</x:v>
      </x:c>
      <x:c r="J26" t="str">
        <x:f>IF(SUM(Sup_Credito!$B$11:$C$12)=0,"PENDIENTE SALDOS Y CAPITAL","CALCULADO")</x:f>
        <x:v>PENDIENTE SALDOS Y CAPITAL</x:v>
      </x:c>
    </x:row>
    <x:row r="27">
      <x:c r="A27" s="26" t="n">
        <x:v>46600</x:v>
      </x:c>
      <x:c r="B27" t="str">
        <x:v>Moto para Todos</x:v>
      </x:c>
      <x:c r="C27" t="n">
        <x:f>SUMIFS(Resultado_Mensual!$D:$D,Resultado_Mensual!$A:$A,$A27)</x:f>
        <x:v>466.66666666666674</x:v>
      </x:c>
      <x:c r="D27" s="21" t="n">
        <x:f>INDEX(Sup_Credito!$B$9:$C$9,1,IF($B27="Moto para Todos",1,2))</x:f>
        <x:v>0.5</x:v>
      </x:c>
      <x:c r="E27" s="21" t="n">
        <x:f>INDEX(Sup_Credito!$B$5:$C$5,1,IF($B27="Moto para Todos",1,2))</x:f>
        <x:v>0.9</x:v>
      </x:c>
      <x:c r="F27" t="n">
        <x:f>C27*D27*E27</x:f>
        <x:v>210.00000000000003</x:v>
      </x:c>
      <x:c r="G27" s="16" t="n">
        <x:f>F27*I27</x:f>
        <x:v>1260000000.0000002</x:v>
      </x:c>
      <x:c r="H27" t="n">
        <x:f>IFERROR(G27/I27,0)</x:f>
        <x:v>210.00000000000003</x:v>
      </x:c>
      <x:c r="I27" s="16" t="n">
        <x:f>INDEX(Sup_Credito!$B$6:$C$6,1,IF($B27="Moto para Todos",1,2))</x:f>
        <x:v>6000000</x:v>
      </x:c>
      <x:c r="J27" t="str">
        <x:f>IF(SUM(Sup_Credito!$B$11:$C$12)=0,"PENDIENTE SALDOS Y CAPITAL","CALCULADO")</x:f>
        <x:v>PENDIENTE SALDOS Y CAPITAL</x:v>
      </x:c>
    </x:row>
    <x:row r="28">
      <x:c r="A28" s="26" t="n">
        <x:v>46600</x:v>
      </x:c>
      <x:c r="B28" t="str">
        <x:v>Verificarte</x:v>
      </x:c>
      <x:c r="C28" t="n">
        <x:f>SUMIFS(Resultado_Mensual!$D:$D,Resultado_Mensual!$A:$A,$A28)</x:f>
        <x:v>466.66666666666674</x:v>
      </x:c>
      <x:c r="D28" s="21" t="n">
        <x:f>INDEX(Sup_Credito!$B$9:$C$9,1,IF($B28="Moto para Todos",1,2))</x:f>
        <x:v>0.5</x:v>
      </x:c>
      <x:c r="E28" s="21" t="n">
        <x:f>INDEX(Sup_Credito!$B$5:$C$5,1,IF($B28="Moto para Todos",1,2))</x:f>
        <x:v>0.1</x:v>
      </x:c>
      <x:c r="F28" t="n">
        <x:f>C28*D28*E28</x:f>
        <x:v>23.33333333333334</x:v>
      </x:c>
      <x:c r="G28" s="16" t="n">
        <x:f>F28*I28</x:f>
        <x:v>140000000.00000003</x:v>
      </x:c>
      <x:c r="H28" t="n">
        <x:f>IFERROR(G28/I28,0)</x:f>
        <x:v>23.33333333333334</x:v>
      </x:c>
      <x:c r="I28" s="16" t="n">
        <x:f>INDEX(Sup_Credito!$B$6:$C$6,1,IF($B28="Moto para Todos",1,2))</x:f>
        <x:v>6000000</x:v>
      </x:c>
      <x:c r="J28" t="str">
        <x:f>IF(SUM(Sup_Credito!$B$11:$C$12)=0,"PENDIENTE SALDOS Y CAPITAL","CALCULADO")</x:f>
        <x:v>PENDIENTE SALDOS Y CAPITAL</x:v>
      </x:c>
    </x:row>
    <x:row r="29">
      <x:c r="A29" s="26" t="n">
        <x:v>46631</x:v>
      </x:c>
      <x:c r="B29" t="str">
        <x:v>Moto para Todos</x:v>
      </x:c>
      <x:c r="C29" t="n">
        <x:f>SUMIFS(Resultado_Mensual!$D:$D,Resultado_Mensual!$A:$A,$A29)</x:f>
        <x:v>475.1366120218578</x:v>
      </x:c>
      <x:c r="D29" s="21" t="n">
        <x:f>INDEX(Sup_Credito!$B$9:$C$9,1,IF($B29="Moto para Todos",1,2))</x:f>
        <x:v>0.5</x:v>
      </x:c>
      <x:c r="E29" s="21" t="n">
        <x:f>INDEX(Sup_Credito!$B$5:$C$5,1,IF($B29="Moto para Todos",1,2))</x:f>
        <x:v>0.9</x:v>
      </x:c>
      <x:c r="F29" t="n">
        <x:f>C29*D29*E29</x:f>
        <x:v>213.81147540983602</x:v>
      </x:c>
      <x:c r="G29" s="16" t="n">
        <x:f>F29*I29</x:f>
        <x:v>1282868852.459016</x:v>
      </x:c>
      <x:c r="H29" t="n">
        <x:f>IFERROR(G29/I29,0)</x:f>
        <x:v>213.81147540983602</x:v>
      </x:c>
      <x:c r="I29" s="16" t="n">
        <x:f>INDEX(Sup_Credito!$B$6:$C$6,1,IF($B29="Moto para Todos",1,2))</x:f>
        <x:v>6000000</x:v>
      </x:c>
      <x:c r="J29" t="str">
        <x:f>IF(SUM(Sup_Credito!$B$11:$C$12)=0,"PENDIENTE SALDOS Y CAPITAL","CALCULADO")</x:f>
        <x:v>PENDIENTE SALDOS Y CAPITAL</x:v>
      </x:c>
    </x:row>
    <x:row r="30">
      <x:c r="A30" s="26" t="n">
        <x:v>46631</x:v>
      </x:c>
      <x:c r="B30" t="str">
        <x:v>Verificarte</x:v>
      </x:c>
      <x:c r="C30" t="n">
        <x:f>SUMIFS(Resultado_Mensual!$D:$D,Resultado_Mensual!$A:$A,$A30)</x:f>
        <x:v>475.1366120218578</x:v>
      </x:c>
      <x:c r="D30" s="21" t="n">
        <x:f>INDEX(Sup_Credito!$B$9:$C$9,1,IF($B30="Moto para Todos",1,2))</x:f>
        <x:v>0.5</x:v>
      </x:c>
      <x:c r="E30" s="21" t="n">
        <x:f>INDEX(Sup_Credito!$B$5:$C$5,1,IF($B30="Moto para Todos",1,2))</x:f>
        <x:v>0.1</x:v>
      </x:c>
      <x:c r="F30" t="n">
        <x:f>C30*D30*E30</x:f>
        <x:v>23.75683060109289</x:v>
      </x:c>
      <x:c r="G30" s="16" t="n">
        <x:f>F30*I30</x:f>
        <x:v>142540983.60655734</x:v>
      </x:c>
      <x:c r="H30" t="n">
        <x:f>IFERROR(G30/I30,0)</x:f>
        <x:v>23.75683060109289</x:v>
      </x:c>
      <x:c r="I30" s="16" t="n">
        <x:f>INDEX(Sup_Credito!$B$6:$C$6,1,IF($B30="Moto para Todos",1,2))</x:f>
        <x:v>6000000</x:v>
      </x:c>
      <x:c r="J30" t="str">
        <x:f>IF(SUM(Sup_Credito!$B$11:$C$12)=0,"PENDIENTE SALDOS Y CAPITAL","CALCULADO")</x:f>
        <x:v>PENDIENTE SALDOS Y CAPITAL</x:v>
      </x:c>
    </x:row>
    <x:row r="31">
      <x:c r="A31" s="26" t="n">
        <x:v>46661</x:v>
      </x:c>
      <x:c r="B31" t="str">
        <x:v>Moto para Todos</x:v>
      </x:c>
      <x:c r="C31" t="n">
        <x:f>SUMIFS(Resultado_Mensual!$D:$D,Resultado_Mensual!$A:$A,$A31)</x:f>
        <x:v>483.3333333333333</x:v>
      </x:c>
      <x:c r="D31" s="21" t="n">
        <x:f>INDEX(Sup_Credito!$B$9:$C$9,1,IF($B31="Moto para Todos",1,2))</x:f>
        <x:v>0.5</x:v>
      </x:c>
      <x:c r="E31" s="21" t="n">
        <x:f>INDEX(Sup_Credito!$B$5:$C$5,1,IF($B31="Moto para Todos",1,2))</x:f>
        <x:v>0.9</x:v>
      </x:c>
      <x:c r="F31" t="n">
        <x:f>C31*D31*E31</x:f>
        <x:v>217.5</x:v>
      </x:c>
      <x:c r="G31" s="16" t="n">
        <x:f>F31*I31</x:f>
        <x:v>1305000000</x:v>
      </x:c>
      <x:c r="H31" t="n">
        <x:f>IFERROR(G31/I31,0)</x:f>
        <x:v>217.5</x:v>
      </x:c>
      <x:c r="I31" s="16" t="n">
        <x:f>INDEX(Sup_Credito!$B$6:$C$6,1,IF($B31="Moto para Todos",1,2))</x:f>
        <x:v>6000000</x:v>
      </x:c>
      <x:c r="J31" t="str">
        <x:f>IF(SUM(Sup_Credito!$B$11:$C$12)=0,"PENDIENTE SALDOS Y CAPITAL","CALCULADO")</x:f>
        <x:v>PENDIENTE SALDOS Y CAPITAL</x:v>
      </x:c>
    </x:row>
    <x:row r="32">
      <x:c r="A32" s="26" t="n">
        <x:v>46661</x:v>
      </x:c>
      <x:c r="B32" t="str">
        <x:v>Verificarte</x:v>
      </x:c>
      <x:c r="C32" t="n">
        <x:f>SUMIFS(Resultado_Mensual!$D:$D,Resultado_Mensual!$A:$A,$A32)</x:f>
        <x:v>483.3333333333333</x:v>
      </x:c>
      <x:c r="D32" s="21" t="n">
        <x:f>INDEX(Sup_Credito!$B$9:$C$9,1,IF($B32="Moto para Todos",1,2))</x:f>
        <x:v>0.5</x:v>
      </x:c>
      <x:c r="E32" s="21" t="n">
        <x:f>INDEX(Sup_Credito!$B$5:$C$5,1,IF($B32="Moto para Todos",1,2))</x:f>
        <x:v>0.1</x:v>
      </x:c>
      <x:c r="F32" t="n">
        <x:f>C32*D32*E32</x:f>
        <x:v>24.166666666666668</x:v>
      </x:c>
      <x:c r="G32" s="16" t="n">
        <x:f>F32*I32</x:f>
        <x:v>145000000</x:v>
      </x:c>
      <x:c r="H32" t="n">
        <x:f>IFERROR(G32/I32,0)</x:f>
        <x:v>24.166666666666668</x:v>
      </x:c>
      <x:c r="I32" s="16" t="n">
        <x:f>INDEX(Sup_Credito!$B$6:$C$6,1,IF($B32="Moto para Todos",1,2))</x:f>
        <x:v>6000000</x:v>
      </x:c>
      <x:c r="J32" t="str">
        <x:f>IF(SUM(Sup_Credito!$B$11:$C$12)=0,"PENDIENTE SALDOS Y CAPITAL","CALCULADO")</x:f>
        <x:v>PENDIENTE SALDOS Y CAPITAL</x:v>
      </x:c>
    </x:row>
    <x:row r="33">
      <x:c r="A33" s="26" t="n">
        <x:v>46692</x:v>
      </x:c>
      <x:c r="B33" t="str">
        <x:v>Moto para Todos</x:v>
      </x:c>
      <x:c r="C33" t="n">
        <x:f>SUMIFS(Resultado_Mensual!$D:$D,Resultado_Mensual!$A:$A,$A33)</x:f>
        <x:v>491.80327868852453</x:v>
      </x:c>
      <x:c r="D33" s="21" t="n">
        <x:f>INDEX(Sup_Credito!$B$9:$C$9,1,IF($B33="Moto para Todos",1,2))</x:f>
        <x:v>0.5</x:v>
      </x:c>
      <x:c r="E33" s="21" t="n">
        <x:f>INDEX(Sup_Credito!$B$5:$C$5,1,IF($B33="Moto para Todos",1,2))</x:f>
        <x:v>0.9</x:v>
      </x:c>
      <x:c r="F33" t="n">
        <x:f>C33*D33*E33</x:f>
        <x:v>221.31147540983605</x:v>
      </x:c>
      <x:c r="G33" s="16" t="n">
        <x:f>F33*I33</x:f>
        <x:v>1327868852.4590163</x:v>
      </x:c>
      <x:c r="H33" t="n">
        <x:f>IFERROR(G33/I33,0)</x:f>
        <x:v>221.31147540983605</x:v>
      </x:c>
      <x:c r="I33" s="16" t="n">
        <x:f>INDEX(Sup_Credito!$B$6:$C$6,1,IF($B33="Moto para Todos",1,2))</x:f>
        <x:v>6000000</x:v>
      </x:c>
      <x:c r="J33" t="str">
        <x:f>IF(SUM(Sup_Credito!$B$11:$C$12)=0,"PENDIENTE SALDOS Y CAPITAL","CALCULADO")</x:f>
        <x:v>PENDIENTE SALDOS Y CAPITAL</x:v>
      </x:c>
    </x:row>
    <x:row r="34">
      <x:c r="A34" s="26" t="n">
        <x:v>46692</x:v>
      </x:c>
      <x:c r="B34" t="str">
        <x:v>Verificarte</x:v>
      </x:c>
      <x:c r="C34" t="n">
        <x:f>SUMIFS(Resultado_Mensual!$D:$D,Resultado_Mensual!$A:$A,$A34)</x:f>
        <x:v>491.80327868852453</x:v>
      </x:c>
      <x:c r="D34" s="21" t="n">
        <x:f>INDEX(Sup_Credito!$B$9:$C$9,1,IF($B34="Moto para Todos",1,2))</x:f>
        <x:v>0.5</x:v>
      </x:c>
      <x:c r="E34" s="21" t="n">
        <x:f>INDEX(Sup_Credito!$B$5:$C$5,1,IF($B34="Moto para Todos",1,2))</x:f>
        <x:v>0.1</x:v>
      </x:c>
      <x:c r="F34" t="n">
        <x:f>C34*D34*E34</x:f>
        <x:v>24.59016393442623</x:v>
      </x:c>
      <x:c r="G34" s="16" t="n">
        <x:f>F34*I34</x:f>
        <x:v>147540983.60655737</x:v>
      </x:c>
      <x:c r="H34" t="n">
        <x:f>IFERROR(G34/I34,0)</x:f>
        <x:v>24.59016393442623</x:v>
      </x:c>
      <x:c r="I34" s="16" t="n">
        <x:f>INDEX(Sup_Credito!$B$6:$C$6,1,IF($B34="Moto para Todos",1,2))</x:f>
        <x:v>6000000</x:v>
      </x:c>
      <x:c r="J34" t="str">
        <x:f>IF(SUM(Sup_Credito!$B$11:$C$12)=0,"PENDIENTE SALDOS Y CAPITAL","CALCULADO")</x:f>
        <x:v>PENDIENTE SALDOS Y CAPITAL</x:v>
      </x:c>
    </x:row>
    <x:row r="35">
      <x:c r="A35" s="26" t="n">
        <x:v>46722</x:v>
      </x:c>
      <x:c r="B35" t="str">
        <x:v>Moto para Todos</x:v>
      </x:c>
      <x:c r="C35" t="n">
        <x:f>SUMIFS(Resultado_Mensual!$D:$D,Resultado_Mensual!$A:$A,$A35)</x:f>
        <x:v>500</x:v>
      </x:c>
      <x:c r="D35" s="21" t="n">
        <x:f>INDEX(Sup_Credito!$B$9:$C$9,1,IF($B35="Moto para Todos",1,2))</x:f>
        <x:v>0.5</x:v>
      </x:c>
      <x:c r="E35" s="21" t="n">
        <x:f>INDEX(Sup_Credito!$B$5:$C$5,1,IF($B35="Moto para Todos",1,2))</x:f>
        <x:v>0.9</x:v>
      </x:c>
      <x:c r="F35" t="n">
        <x:f>C35*D35*E35</x:f>
        <x:v>225</x:v>
      </x:c>
      <x:c r="G35" s="16" t="n">
        <x:f>F35*I35</x:f>
        <x:v>1350000000</x:v>
      </x:c>
      <x:c r="H35" t="n">
        <x:f>IFERROR(G35/I35,0)</x:f>
        <x:v>225</x:v>
      </x:c>
      <x:c r="I35" s="16" t="n">
        <x:f>INDEX(Sup_Credito!$B$6:$C$6,1,IF($B35="Moto para Todos",1,2))</x:f>
        <x:v>6000000</x:v>
      </x:c>
      <x:c r="J35" t="str">
        <x:f>IF(SUM(Sup_Credito!$B$11:$C$12)=0,"PENDIENTE SALDOS Y CAPITAL","CALCULADO")</x:f>
        <x:v>PENDIENTE SALDOS Y CAPITAL</x:v>
      </x:c>
    </x:row>
    <x:row r="36">
      <x:c r="A36" s="26" t="n">
        <x:v>46722</x:v>
      </x:c>
      <x:c r="B36" t="str">
        <x:v>Verificarte</x:v>
      </x:c>
      <x:c r="C36" t="n">
        <x:f>SUMIFS(Resultado_Mensual!$D:$D,Resultado_Mensual!$A:$A,$A36)</x:f>
        <x:v>500</x:v>
      </x:c>
      <x:c r="D36" s="21" t="n">
        <x:f>INDEX(Sup_Credito!$B$9:$C$9,1,IF($B36="Moto para Todos",1,2))</x:f>
        <x:v>0.5</x:v>
      </x:c>
      <x:c r="E36" s="21" t="n">
        <x:f>INDEX(Sup_Credito!$B$5:$C$5,1,IF($B36="Moto para Todos",1,2))</x:f>
        <x:v>0.1</x:v>
      </x:c>
      <x:c r="F36" t="n">
        <x:f>C36*D36*E36</x:f>
        <x:v>25</x:v>
      </x:c>
      <x:c r="G36" s="16" t="n">
        <x:f>F36*I36</x:f>
        <x:v>150000000</x:v>
      </x:c>
      <x:c r="H36" t="n">
        <x:f>IFERROR(G36/I36,0)</x:f>
        <x:v>25</x:v>
      </x:c>
      <x:c r="I36" s="16" t="n">
        <x:f>INDEX(Sup_Credito!$B$6:$C$6,1,IF($B36="Moto para Todos",1,2))</x:f>
        <x:v>6000000</x:v>
      </x:c>
      <x:c r="J36" t="str">
        <x:f>IF(SUM(Sup_Credito!$B$11:$C$12)=0,"PENDIENTE SALDOS Y CAPITAL","CALCULADO")</x:f>
        <x:v>PENDIENTE SALDOS Y CAPITAL</x:v>
      </x:c>
    </x:row>
    <x:row r="37">
      <x:c r="A37" s="26" t="n">
        <x:v>46753</x:v>
      </x:c>
      <x:c r="B37" t="str">
        <x:v>Moto para Todos</x:v>
      </x:c>
      <x:c r="C37" t="n">
        <x:f>SUMIFS(Resultado_Mensual!$D:$D,Resultado_Mensual!$A:$A,$A37)</x:f>
        <x:v>500</x:v>
      </x:c>
      <x:c r="D37" s="21" t="n">
        <x:f>INDEX(Sup_Credito!$B$9:$C$9,1,IF($B37="Moto para Todos",1,2))</x:f>
        <x:v>0.5</x:v>
      </x:c>
      <x:c r="E37" s="21" t="n">
        <x:f>INDEX(Sup_Credito!$B$5:$C$5,1,IF($B37="Moto para Todos",1,2))</x:f>
        <x:v>0.9</x:v>
      </x:c>
      <x:c r="F37" t="n">
        <x:f>C37*D37*E37</x:f>
        <x:v>225</x:v>
      </x:c>
      <x:c r="G37" s="16" t="n">
        <x:f>F37*I37</x:f>
        <x:v>1350000000</x:v>
      </x:c>
      <x:c r="H37" t="n">
        <x:f>IFERROR(G37/I37,0)</x:f>
        <x:v>225</x:v>
      </x:c>
      <x:c r="I37" s="16" t="n">
        <x:f>INDEX(Sup_Credito!$B$6:$C$6,1,IF($B37="Moto para Todos",1,2))</x:f>
        <x:v>6000000</x:v>
      </x:c>
      <x:c r="J37" t="str">
        <x:f>IF(SUM(Sup_Credito!$B$11:$C$12)=0,"PENDIENTE SALDOS Y CAPITAL","CALCULADO")</x:f>
        <x:v>PENDIENTE SALDOS Y CAPITAL</x:v>
      </x:c>
    </x:row>
    <x:row r="38">
      <x:c r="A38" s="26" t="n">
        <x:v>46753</x:v>
      </x:c>
      <x:c r="B38" t="str">
        <x:v>Verificarte</x:v>
      </x:c>
      <x:c r="C38" t="n">
        <x:f>SUMIFS(Resultado_Mensual!$D:$D,Resultado_Mensual!$A:$A,$A38)</x:f>
        <x:v>500</x:v>
      </x:c>
      <x:c r="D38" s="21" t="n">
        <x:f>INDEX(Sup_Credito!$B$9:$C$9,1,IF($B38="Moto para Todos",1,2))</x:f>
        <x:v>0.5</x:v>
      </x:c>
      <x:c r="E38" s="21" t="n">
        <x:f>INDEX(Sup_Credito!$B$5:$C$5,1,IF($B38="Moto para Todos",1,2))</x:f>
        <x:v>0.1</x:v>
      </x:c>
      <x:c r="F38" t="n">
        <x:f>C38*D38*E38</x:f>
        <x:v>25</x:v>
      </x:c>
      <x:c r="G38" s="16" t="n">
        <x:f>F38*I38</x:f>
        <x:v>150000000</x:v>
      </x:c>
      <x:c r="H38" t="n">
        <x:f>IFERROR(G38/I38,0)</x:f>
        <x:v>25</x:v>
      </x:c>
      <x:c r="I38" s="16" t="n">
        <x:f>INDEX(Sup_Credito!$B$6:$C$6,1,IF($B38="Moto para Todos",1,2))</x:f>
        <x:v>6000000</x:v>
      </x:c>
      <x:c r="J38" t="str">
        <x:f>IF(SUM(Sup_Credito!$B$11:$C$12)=0,"PENDIENTE SALDOS Y CAPITAL","CALCULADO")</x:f>
        <x:v>PENDIENTE SALDOS Y CAPITAL</x:v>
      </x:c>
    </x:row>
    <x:row r="39">
      <x:c r="A39" s="26" t="n">
        <x:v>46784</x:v>
      </x:c>
      <x:c r="B39" t="str">
        <x:v>Moto para Todos</x:v>
      </x:c>
      <x:c r="C39" t="n">
        <x:f>SUMIFS(Resultado_Mensual!$D:$D,Resultado_Mensual!$A:$A,$A39)</x:f>
        <x:v>500</x:v>
      </x:c>
      <x:c r="D39" s="21" t="n">
        <x:f>INDEX(Sup_Credito!$B$9:$C$9,1,IF($B39="Moto para Todos",1,2))</x:f>
        <x:v>0.5</x:v>
      </x:c>
      <x:c r="E39" s="21" t="n">
        <x:f>INDEX(Sup_Credito!$B$5:$C$5,1,IF($B39="Moto para Todos",1,2))</x:f>
        <x:v>0.9</x:v>
      </x:c>
      <x:c r="F39" t="n">
        <x:f>C39*D39*E39</x:f>
        <x:v>225</x:v>
      </x:c>
      <x:c r="G39" s="16" t="n">
        <x:f>F39*I39</x:f>
        <x:v>1350000000</x:v>
      </x:c>
      <x:c r="H39" t="n">
        <x:f>IFERROR(G39/I39,0)</x:f>
        <x:v>225</x:v>
      </x:c>
      <x:c r="I39" s="16" t="n">
        <x:f>INDEX(Sup_Credito!$B$6:$C$6,1,IF($B39="Moto para Todos",1,2))</x:f>
        <x:v>6000000</x:v>
      </x:c>
      <x:c r="J39" t="str">
        <x:f>IF(SUM(Sup_Credito!$B$11:$C$12)=0,"PENDIENTE SALDOS Y CAPITAL","CALCULADO")</x:f>
        <x:v>PENDIENTE SALDOS Y CAPITAL</x:v>
      </x:c>
    </x:row>
    <x:row r="40">
      <x:c r="A40" s="26" t="n">
        <x:v>46784</x:v>
      </x:c>
      <x:c r="B40" t="str">
        <x:v>Verificarte</x:v>
      </x:c>
      <x:c r="C40" t="n">
        <x:f>SUMIFS(Resultado_Mensual!$D:$D,Resultado_Mensual!$A:$A,$A40)</x:f>
        <x:v>500</x:v>
      </x:c>
      <x:c r="D40" s="21" t="n">
        <x:f>INDEX(Sup_Credito!$B$9:$C$9,1,IF($B40="Moto para Todos",1,2))</x:f>
        <x:v>0.5</x:v>
      </x:c>
      <x:c r="E40" s="21" t="n">
        <x:f>INDEX(Sup_Credito!$B$5:$C$5,1,IF($B40="Moto para Todos",1,2))</x:f>
        <x:v>0.1</x:v>
      </x:c>
      <x:c r="F40" t="n">
        <x:f>C40*D40*E40</x:f>
        <x:v>25</x:v>
      </x:c>
      <x:c r="G40" s="16" t="n">
        <x:f>F40*I40</x:f>
        <x:v>150000000</x:v>
      </x:c>
      <x:c r="H40" t="n">
        <x:f>IFERROR(G40/I40,0)</x:f>
        <x:v>25</x:v>
      </x:c>
      <x:c r="I40" s="16" t="n">
        <x:f>INDEX(Sup_Credito!$B$6:$C$6,1,IF($B40="Moto para Todos",1,2))</x:f>
        <x:v>6000000</x:v>
      </x:c>
      <x:c r="J40" t="str">
        <x:f>IF(SUM(Sup_Credito!$B$11:$C$12)=0,"PENDIENTE SALDOS Y CAPITAL","CALCULADO")</x:f>
        <x:v>PENDIENTE SALDOS Y CAPITAL</x:v>
      </x:c>
    </x:row>
    <x:row r="41">
      <x:c r="A41" s="26" t="n">
        <x:v>46813</x:v>
      </x:c>
      <x:c r="B41" t="str">
        <x:v>Moto para Todos</x:v>
      </x:c>
      <x:c r="C41" t="n">
        <x:f>SUMIFS(Resultado_Mensual!$D:$D,Resultado_Mensual!$A:$A,$A41)</x:f>
        <x:v>500</x:v>
      </x:c>
      <x:c r="D41" s="21" t="n">
        <x:f>INDEX(Sup_Credito!$B$9:$C$9,1,IF($B41="Moto para Todos",1,2))</x:f>
        <x:v>0.5</x:v>
      </x:c>
      <x:c r="E41" s="21" t="n">
        <x:f>INDEX(Sup_Credito!$B$5:$C$5,1,IF($B41="Moto para Todos",1,2))</x:f>
        <x:v>0.9</x:v>
      </x:c>
      <x:c r="F41" t="n">
        <x:f>C41*D41*E41</x:f>
        <x:v>225</x:v>
      </x:c>
      <x:c r="G41" s="16" t="n">
        <x:f>F41*I41</x:f>
        <x:v>1350000000</x:v>
      </x:c>
      <x:c r="H41" t="n">
        <x:f>IFERROR(G41/I41,0)</x:f>
        <x:v>225</x:v>
      </x:c>
      <x:c r="I41" s="16" t="n">
        <x:f>INDEX(Sup_Credito!$B$6:$C$6,1,IF($B41="Moto para Todos",1,2))</x:f>
        <x:v>6000000</x:v>
      </x:c>
      <x:c r="J41" t="str">
        <x:f>IF(SUM(Sup_Credito!$B$11:$C$12)=0,"PENDIENTE SALDOS Y CAPITAL","CALCULADO")</x:f>
        <x:v>PENDIENTE SALDOS Y CAPITAL</x:v>
      </x:c>
    </x:row>
    <x:row r="42">
      <x:c r="A42" s="26" t="n">
        <x:v>46813</x:v>
      </x:c>
      <x:c r="B42" t="str">
        <x:v>Verificarte</x:v>
      </x:c>
      <x:c r="C42" t="n">
        <x:f>SUMIFS(Resultado_Mensual!$D:$D,Resultado_Mensual!$A:$A,$A42)</x:f>
        <x:v>500</x:v>
      </x:c>
      <x:c r="D42" s="21" t="n">
        <x:f>INDEX(Sup_Credito!$B$9:$C$9,1,IF($B42="Moto para Todos",1,2))</x:f>
        <x:v>0.5</x:v>
      </x:c>
      <x:c r="E42" s="21" t="n">
        <x:f>INDEX(Sup_Credito!$B$5:$C$5,1,IF($B42="Moto para Todos",1,2))</x:f>
        <x:v>0.1</x:v>
      </x:c>
      <x:c r="F42" t="n">
        <x:f>C42*D42*E42</x:f>
        <x:v>25</x:v>
      </x:c>
      <x:c r="G42" s="16" t="n">
        <x:f>F42*I42</x:f>
        <x:v>150000000</x:v>
      </x:c>
      <x:c r="H42" t="n">
        <x:f>IFERROR(G42/I42,0)</x:f>
        <x:v>25</x:v>
      </x:c>
      <x:c r="I42" s="16" t="n">
        <x:f>INDEX(Sup_Credito!$B$6:$C$6,1,IF($B42="Moto para Todos",1,2))</x:f>
        <x:v>6000000</x:v>
      </x:c>
      <x:c r="J42" t="str">
        <x:f>IF(SUM(Sup_Credito!$B$11:$C$12)=0,"PENDIENTE SALDOS Y CAPITAL","CALCULADO")</x:f>
        <x:v>PENDIENTE SALDOS Y CAPITAL</x:v>
      </x:c>
    </x:row>
    <x:row r="43">
      <x:c r="A43" s="26" t="n">
        <x:v>46844</x:v>
      </x:c>
      <x:c r="B43" t="str">
        <x:v>Moto para Todos</x:v>
      </x:c>
      <x:c r="C43" t="n">
        <x:f>SUMIFS(Resultado_Mensual!$D:$D,Resultado_Mensual!$A:$A,$A43)</x:f>
        <x:v>500</x:v>
      </x:c>
      <x:c r="D43" s="21" t="n">
        <x:f>INDEX(Sup_Credito!$B$9:$C$9,1,IF($B43="Moto para Todos",1,2))</x:f>
        <x:v>0.5</x:v>
      </x:c>
      <x:c r="E43" s="21" t="n">
        <x:f>INDEX(Sup_Credito!$B$5:$C$5,1,IF($B43="Moto para Todos",1,2))</x:f>
        <x:v>0.9</x:v>
      </x:c>
      <x:c r="F43" t="n">
        <x:f>C43*D43*E43</x:f>
        <x:v>225</x:v>
      </x:c>
      <x:c r="G43" s="16" t="n">
        <x:f>F43*I43</x:f>
        <x:v>1350000000</x:v>
      </x:c>
      <x:c r="H43" t="n">
        <x:f>IFERROR(G43/I43,0)</x:f>
        <x:v>225</x:v>
      </x:c>
      <x:c r="I43" s="16" t="n">
        <x:f>INDEX(Sup_Credito!$B$6:$C$6,1,IF($B43="Moto para Todos",1,2))</x:f>
        <x:v>6000000</x:v>
      </x:c>
      <x:c r="J43" t="str">
        <x:f>IF(SUM(Sup_Credito!$B$11:$C$12)=0,"PENDIENTE SALDOS Y CAPITAL","CALCULADO")</x:f>
        <x:v>PENDIENTE SALDOS Y CAPITAL</x:v>
      </x:c>
    </x:row>
    <x:row r="44">
      <x:c r="A44" s="26" t="n">
        <x:v>46844</x:v>
      </x:c>
      <x:c r="B44" t="str">
        <x:v>Verificarte</x:v>
      </x:c>
      <x:c r="C44" t="n">
        <x:f>SUMIFS(Resultado_Mensual!$D:$D,Resultado_Mensual!$A:$A,$A44)</x:f>
        <x:v>500</x:v>
      </x:c>
      <x:c r="D44" s="21" t="n">
        <x:f>INDEX(Sup_Credito!$B$9:$C$9,1,IF($B44="Moto para Todos",1,2))</x:f>
        <x:v>0.5</x:v>
      </x:c>
      <x:c r="E44" s="21" t="n">
        <x:f>INDEX(Sup_Credito!$B$5:$C$5,1,IF($B44="Moto para Todos",1,2))</x:f>
        <x:v>0.1</x:v>
      </x:c>
      <x:c r="F44" t="n">
        <x:f>C44*D44*E44</x:f>
        <x:v>25</x:v>
      </x:c>
      <x:c r="G44" s="16" t="n">
        <x:f>F44*I44</x:f>
        <x:v>150000000</x:v>
      </x:c>
      <x:c r="H44" t="n">
        <x:f>IFERROR(G44/I44,0)</x:f>
        <x:v>25</x:v>
      </x:c>
      <x:c r="I44" s="16" t="n">
        <x:f>INDEX(Sup_Credito!$B$6:$C$6,1,IF($B44="Moto para Todos",1,2))</x:f>
        <x:v>6000000</x:v>
      </x:c>
      <x:c r="J44" t="str">
        <x:f>IF(SUM(Sup_Credito!$B$11:$C$12)=0,"PENDIENTE SALDOS Y CAPITAL","CALCULADO")</x:f>
        <x:v>PENDIENTE SALDOS Y CAPITAL</x:v>
      </x:c>
    </x:row>
    <x:row r="45">
      <x:c r="A45" s="26" t="n">
        <x:v>46874</x:v>
      </x:c>
      <x:c r="B45" t="str">
        <x:v>Moto para Todos</x:v>
      </x:c>
      <x:c r="C45" t="n">
        <x:f>SUMIFS(Resultado_Mensual!$D:$D,Resultado_Mensual!$A:$A,$A45)</x:f>
        <x:v>500</x:v>
      </x:c>
      <x:c r="D45" s="21" t="n">
        <x:f>INDEX(Sup_Credito!$B$9:$C$9,1,IF($B45="Moto para Todos",1,2))</x:f>
        <x:v>0.5</x:v>
      </x:c>
      <x:c r="E45" s="21" t="n">
        <x:f>INDEX(Sup_Credito!$B$5:$C$5,1,IF($B45="Moto para Todos",1,2))</x:f>
        <x:v>0.9</x:v>
      </x:c>
      <x:c r="F45" t="n">
        <x:f>C45*D45*E45</x:f>
        <x:v>225</x:v>
      </x:c>
      <x:c r="G45" s="16" t="n">
        <x:f>F45*I45</x:f>
        <x:v>1350000000</x:v>
      </x:c>
      <x:c r="H45" t="n">
        <x:f>IFERROR(G45/I45,0)</x:f>
        <x:v>225</x:v>
      </x:c>
      <x:c r="I45" s="16" t="n">
        <x:f>INDEX(Sup_Credito!$B$6:$C$6,1,IF($B45="Moto para Todos",1,2))</x:f>
        <x:v>6000000</x:v>
      </x:c>
      <x:c r="J45" t="str">
        <x:f>IF(SUM(Sup_Credito!$B$11:$C$12)=0,"PENDIENTE SALDOS Y CAPITAL","CALCULADO")</x:f>
        <x:v>PENDIENTE SALDOS Y CAPITAL</x:v>
      </x:c>
    </x:row>
    <x:row r="46">
      <x:c r="A46" s="26" t="n">
        <x:v>46874</x:v>
      </x:c>
      <x:c r="B46" t="str">
        <x:v>Verificarte</x:v>
      </x:c>
      <x:c r="C46" t="n">
        <x:f>SUMIFS(Resultado_Mensual!$D:$D,Resultado_Mensual!$A:$A,$A46)</x:f>
        <x:v>500</x:v>
      </x:c>
      <x:c r="D46" s="21" t="n">
        <x:f>INDEX(Sup_Credito!$B$9:$C$9,1,IF($B46="Moto para Todos",1,2))</x:f>
        <x:v>0.5</x:v>
      </x:c>
      <x:c r="E46" s="21" t="n">
        <x:f>INDEX(Sup_Credito!$B$5:$C$5,1,IF($B46="Moto para Todos",1,2))</x:f>
        <x:v>0.1</x:v>
      </x:c>
      <x:c r="F46" t="n">
        <x:f>C46*D46*E46</x:f>
        <x:v>25</x:v>
      </x:c>
      <x:c r="G46" s="16" t="n">
        <x:f>F46*I46</x:f>
        <x:v>150000000</x:v>
      </x:c>
      <x:c r="H46" t="n">
        <x:f>IFERROR(G46/I46,0)</x:f>
        <x:v>25</x:v>
      </x:c>
      <x:c r="I46" s="16" t="n">
        <x:f>INDEX(Sup_Credito!$B$6:$C$6,1,IF($B46="Moto para Todos",1,2))</x:f>
        <x:v>6000000</x:v>
      </x:c>
      <x:c r="J46" t="str">
        <x:f>IF(SUM(Sup_Credito!$B$11:$C$12)=0,"PENDIENTE SALDOS Y CAPITAL","CALCULADO")</x:f>
        <x:v>PENDIENTE SALDOS Y CAPITAL</x:v>
      </x:c>
    </x:row>
    <x:row r="47">
      <x:c r="A47" s="26" t="n">
        <x:v>46905</x:v>
      </x:c>
      <x:c r="B47" t="str">
        <x:v>Moto para Todos</x:v>
      </x:c>
      <x:c r="C47" t="n">
        <x:f>SUMIFS(Resultado_Mensual!$D:$D,Resultado_Mensual!$A:$A,$A47)</x:f>
        <x:v>500</x:v>
      </x:c>
      <x:c r="D47" s="21" t="n">
        <x:f>INDEX(Sup_Credito!$B$9:$C$9,1,IF($B47="Moto para Todos",1,2))</x:f>
        <x:v>0.5</x:v>
      </x:c>
      <x:c r="E47" s="21" t="n">
        <x:f>INDEX(Sup_Credito!$B$5:$C$5,1,IF($B47="Moto para Todos",1,2))</x:f>
        <x:v>0.9</x:v>
      </x:c>
      <x:c r="F47" t="n">
        <x:f>C47*D47*E47</x:f>
        <x:v>225</x:v>
      </x:c>
      <x:c r="G47" s="16" t="n">
        <x:f>F47*I47</x:f>
        <x:v>1350000000</x:v>
      </x:c>
      <x:c r="H47" t="n">
        <x:f>IFERROR(G47/I47,0)</x:f>
        <x:v>225</x:v>
      </x:c>
      <x:c r="I47" s="16" t="n">
        <x:f>INDEX(Sup_Credito!$B$6:$C$6,1,IF($B47="Moto para Todos",1,2))</x:f>
        <x:v>6000000</x:v>
      </x:c>
      <x:c r="J47" t="str">
        <x:f>IF(SUM(Sup_Credito!$B$11:$C$12)=0,"PENDIENTE SALDOS Y CAPITAL","CALCULADO")</x:f>
        <x:v>PENDIENTE SALDOS Y CAPITAL</x:v>
      </x:c>
    </x:row>
    <x:row r="48">
      <x:c r="A48" s="26" t="n">
        <x:v>46905</x:v>
      </x:c>
      <x:c r="B48" t="str">
        <x:v>Verificarte</x:v>
      </x:c>
      <x:c r="C48" t="n">
        <x:f>SUMIFS(Resultado_Mensual!$D:$D,Resultado_Mensual!$A:$A,$A48)</x:f>
        <x:v>500</x:v>
      </x:c>
      <x:c r="D48" s="21" t="n">
        <x:f>INDEX(Sup_Credito!$B$9:$C$9,1,IF($B48="Moto para Todos",1,2))</x:f>
        <x:v>0.5</x:v>
      </x:c>
      <x:c r="E48" s="21" t="n">
        <x:f>INDEX(Sup_Credito!$B$5:$C$5,1,IF($B48="Moto para Todos",1,2))</x:f>
        <x:v>0.1</x:v>
      </x:c>
      <x:c r="F48" t="n">
        <x:f>C48*D48*E48</x:f>
        <x:v>25</x:v>
      </x:c>
      <x:c r="G48" s="16" t="n">
        <x:f>F48*I48</x:f>
        <x:v>150000000</x:v>
      </x:c>
      <x:c r="H48" t="n">
        <x:f>IFERROR(G48/I48,0)</x:f>
        <x:v>25</x:v>
      </x:c>
      <x:c r="I48" s="16" t="n">
        <x:f>INDEX(Sup_Credito!$B$6:$C$6,1,IF($B48="Moto para Todos",1,2))</x:f>
        <x:v>6000000</x:v>
      </x:c>
      <x:c r="J48" t="str">
        <x:f>IF(SUM(Sup_Credito!$B$11:$C$12)=0,"PENDIENTE SALDOS Y CAPITAL","CALCULADO")</x:f>
        <x:v>PENDIENTE SALDOS Y CAPITAL</x:v>
      </x:c>
    </x:row>
    <x:row r="49">
      <x:c r="A49" s="26" t="n">
        <x:v>46935</x:v>
      </x:c>
      <x:c r="B49" t="str">
        <x:v>Moto para Todos</x:v>
      </x:c>
      <x:c r="C49" t="n">
        <x:f>SUMIFS(Resultado_Mensual!$D:$D,Resultado_Mensual!$A:$A,$A49)</x:f>
        <x:v>500</x:v>
      </x:c>
      <x:c r="D49" s="21" t="n">
        <x:f>INDEX(Sup_Credito!$B$9:$C$9,1,IF($B49="Moto para Todos",1,2))</x:f>
        <x:v>0.5</x:v>
      </x:c>
      <x:c r="E49" s="21" t="n">
        <x:f>INDEX(Sup_Credito!$B$5:$C$5,1,IF($B49="Moto para Todos",1,2))</x:f>
        <x:v>0.9</x:v>
      </x:c>
      <x:c r="F49" t="n">
        <x:f>C49*D49*E49</x:f>
        <x:v>225</x:v>
      </x:c>
      <x:c r="G49" s="16" t="n">
        <x:f>F49*I49</x:f>
        <x:v>1350000000</x:v>
      </x:c>
      <x:c r="H49" t="n">
        <x:f>IFERROR(G49/I49,0)</x:f>
        <x:v>225</x:v>
      </x:c>
      <x:c r="I49" s="16" t="n">
        <x:f>INDEX(Sup_Credito!$B$6:$C$6,1,IF($B49="Moto para Todos",1,2))</x:f>
        <x:v>6000000</x:v>
      </x:c>
      <x:c r="J49" t="str">
        <x:f>IF(SUM(Sup_Credito!$B$11:$C$12)=0,"PENDIENTE SALDOS Y CAPITAL","CALCULADO")</x:f>
        <x:v>PENDIENTE SALDOS Y CAPITAL</x:v>
      </x:c>
    </x:row>
    <x:row r="50">
      <x:c r="A50" s="26" t="n">
        <x:v>46935</x:v>
      </x:c>
      <x:c r="B50" t="str">
        <x:v>Verificarte</x:v>
      </x:c>
      <x:c r="C50" t="n">
        <x:f>SUMIFS(Resultado_Mensual!$D:$D,Resultado_Mensual!$A:$A,$A50)</x:f>
        <x:v>500</x:v>
      </x:c>
      <x:c r="D50" s="21" t="n">
        <x:f>INDEX(Sup_Credito!$B$9:$C$9,1,IF($B50="Moto para Todos",1,2))</x:f>
        <x:v>0.5</x:v>
      </x:c>
      <x:c r="E50" s="21" t="n">
        <x:f>INDEX(Sup_Credito!$B$5:$C$5,1,IF($B50="Moto para Todos",1,2))</x:f>
        <x:v>0.1</x:v>
      </x:c>
      <x:c r="F50" t="n">
        <x:f>C50*D50*E50</x:f>
        <x:v>25</x:v>
      </x:c>
      <x:c r="G50" s="16" t="n">
        <x:f>F50*I50</x:f>
        <x:v>150000000</x:v>
      </x:c>
      <x:c r="H50" t="n">
        <x:f>IFERROR(G50/I50,0)</x:f>
        <x:v>25</x:v>
      </x:c>
      <x:c r="I50" s="16" t="n">
        <x:f>INDEX(Sup_Credito!$B$6:$C$6,1,IF($B50="Moto para Todos",1,2))</x:f>
        <x:v>6000000</x:v>
      </x:c>
      <x:c r="J50" t="str">
        <x:f>IF(SUM(Sup_Credito!$B$11:$C$12)=0,"PENDIENTE SALDOS Y CAPITAL","CALCULADO")</x:f>
        <x:v>PENDIENTE SALDOS Y CAPITAL</x:v>
      </x:c>
    </x:row>
    <x:row r="51">
      <x:c r="A51" s="26" t="n">
        <x:v>46966</x:v>
      </x:c>
      <x:c r="B51" t="str">
        <x:v>Moto para Todos</x:v>
      </x:c>
      <x:c r="C51" t="n">
        <x:f>SUMIFS(Resultado_Mensual!$D:$D,Resultado_Mensual!$A:$A,$A51)</x:f>
        <x:v>500</x:v>
      </x:c>
      <x:c r="D51" s="21" t="n">
        <x:f>INDEX(Sup_Credito!$B$9:$C$9,1,IF($B51="Moto para Todos",1,2))</x:f>
        <x:v>0.5</x:v>
      </x:c>
      <x:c r="E51" s="21" t="n">
        <x:f>INDEX(Sup_Credito!$B$5:$C$5,1,IF($B51="Moto para Todos",1,2))</x:f>
        <x:v>0.9</x:v>
      </x:c>
      <x:c r="F51" t="n">
        <x:f>C51*D51*E51</x:f>
        <x:v>225</x:v>
      </x:c>
      <x:c r="G51" s="16" t="n">
        <x:f>F51*I51</x:f>
        <x:v>1350000000</x:v>
      </x:c>
      <x:c r="H51" t="n">
        <x:f>IFERROR(G51/I51,0)</x:f>
        <x:v>225</x:v>
      </x:c>
      <x:c r="I51" s="16" t="n">
        <x:f>INDEX(Sup_Credito!$B$6:$C$6,1,IF($B51="Moto para Todos",1,2))</x:f>
        <x:v>6000000</x:v>
      </x:c>
      <x:c r="J51" t="str">
        <x:f>IF(SUM(Sup_Credito!$B$11:$C$12)=0,"PENDIENTE SALDOS Y CAPITAL","CALCULADO")</x:f>
        <x:v>PENDIENTE SALDOS Y CAPITAL</x:v>
      </x:c>
    </x:row>
    <x:row r="52">
      <x:c r="A52" s="26" t="n">
        <x:v>46966</x:v>
      </x:c>
      <x:c r="B52" t="str">
        <x:v>Verificarte</x:v>
      </x:c>
      <x:c r="C52" t="n">
        <x:f>SUMIFS(Resultado_Mensual!$D:$D,Resultado_Mensual!$A:$A,$A52)</x:f>
        <x:v>500</x:v>
      </x:c>
      <x:c r="D52" s="21" t="n">
        <x:f>INDEX(Sup_Credito!$B$9:$C$9,1,IF($B52="Moto para Todos",1,2))</x:f>
        <x:v>0.5</x:v>
      </x:c>
      <x:c r="E52" s="21" t="n">
        <x:f>INDEX(Sup_Credito!$B$5:$C$5,1,IF($B52="Moto para Todos",1,2))</x:f>
        <x:v>0.1</x:v>
      </x:c>
      <x:c r="F52" t="n">
        <x:f>C52*D52*E52</x:f>
        <x:v>25</x:v>
      </x:c>
      <x:c r="G52" s="16" t="n">
        <x:f>F52*I52</x:f>
        <x:v>150000000</x:v>
      </x:c>
      <x:c r="H52" t="n">
        <x:f>IFERROR(G52/I52,0)</x:f>
        <x:v>25</x:v>
      </x:c>
      <x:c r="I52" s="16" t="n">
        <x:f>INDEX(Sup_Credito!$B$6:$C$6,1,IF($B52="Moto para Todos",1,2))</x:f>
        <x:v>6000000</x:v>
      </x:c>
      <x:c r="J52" t="str">
        <x:f>IF(SUM(Sup_Credito!$B$11:$C$12)=0,"PENDIENTE SALDOS Y CAPITAL","CALCULADO")</x:f>
        <x:v>PENDIENTE SALDOS Y CAPITAL</x:v>
      </x:c>
    </x:row>
    <x:row r="53">
      <x:c r="A53" s="26" t="n">
        <x:v>46997</x:v>
      </x:c>
      <x:c r="B53" t="str">
        <x:v>Moto para Todos</x:v>
      </x:c>
      <x:c r="C53" t="n">
        <x:f>SUMIFS(Resultado_Mensual!$D:$D,Resultado_Mensual!$A:$A,$A53)</x:f>
        <x:v>500</x:v>
      </x:c>
      <x:c r="D53" s="21" t="n">
        <x:f>INDEX(Sup_Credito!$B$9:$C$9,1,IF($B53="Moto para Todos",1,2))</x:f>
        <x:v>0.5</x:v>
      </x:c>
      <x:c r="E53" s="21" t="n">
        <x:f>INDEX(Sup_Credito!$B$5:$C$5,1,IF($B53="Moto para Todos",1,2))</x:f>
        <x:v>0.9</x:v>
      </x:c>
      <x:c r="F53" t="n">
        <x:f>C53*D53*E53</x:f>
        <x:v>225</x:v>
      </x:c>
      <x:c r="G53" s="16" t="n">
        <x:f>F53*I53</x:f>
        <x:v>1350000000</x:v>
      </x:c>
      <x:c r="H53" t="n">
        <x:f>IFERROR(G53/I53,0)</x:f>
        <x:v>225</x:v>
      </x:c>
      <x:c r="I53" s="16" t="n">
        <x:f>INDEX(Sup_Credito!$B$6:$C$6,1,IF($B53="Moto para Todos",1,2))</x:f>
        <x:v>6000000</x:v>
      </x:c>
      <x:c r="J53" t="str">
        <x:f>IF(SUM(Sup_Credito!$B$11:$C$12)=0,"PENDIENTE SALDOS Y CAPITAL","CALCULADO")</x:f>
        <x:v>PENDIENTE SALDOS Y CAPITAL</x:v>
      </x:c>
    </x:row>
    <x:row r="54">
      <x:c r="A54" s="26" t="n">
        <x:v>46997</x:v>
      </x:c>
      <x:c r="B54" t="str">
        <x:v>Verificarte</x:v>
      </x:c>
      <x:c r="C54" t="n">
        <x:f>SUMIFS(Resultado_Mensual!$D:$D,Resultado_Mensual!$A:$A,$A54)</x:f>
        <x:v>500</x:v>
      </x:c>
      <x:c r="D54" s="21" t="n">
        <x:f>INDEX(Sup_Credito!$B$9:$C$9,1,IF($B54="Moto para Todos",1,2))</x:f>
        <x:v>0.5</x:v>
      </x:c>
      <x:c r="E54" s="21" t="n">
        <x:f>INDEX(Sup_Credito!$B$5:$C$5,1,IF($B54="Moto para Todos",1,2))</x:f>
        <x:v>0.1</x:v>
      </x:c>
      <x:c r="F54" t="n">
        <x:f>C54*D54*E54</x:f>
        <x:v>25</x:v>
      </x:c>
      <x:c r="G54" s="16" t="n">
        <x:f>F54*I54</x:f>
        <x:v>150000000</x:v>
      </x:c>
      <x:c r="H54" t="n">
        <x:f>IFERROR(G54/I54,0)</x:f>
        <x:v>25</x:v>
      </x:c>
      <x:c r="I54" s="16" t="n">
        <x:f>INDEX(Sup_Credito!$B$6:$C$6,1,IF($B54="Moto para Todos",1,2))</x:f>
        <x:v>6000000</x:v>
      </x:c>
      <x:c r="J54" t="str">
        <x:f>IF(SUM(Sup_Credito!$B$11:$C$12)=0,"PENDIENTE SALDOS Y CAPITAL","CALCULADO")</x:f>
        <x:v>PENDIENTE SALDOS Y CAPITAL</x:v>
      </x:c>
    </x:row>
    <x:row r="55">
      <x:c r="A55" s="26" t="n">
        <x:v>47027</x:v>
      </x:c>
      <x:c r="B55" t="str">
        <x:v>Moto para Todos</x:v>
      </x:c>
      <x:c r="C55" t="n">
        <x:f>SUMIFS(Resultado_Mensual!$D:$D,Resultado_Mensual!$A:$A,$A55)</x:f>
        <x:v>500</x:v>
      </x:c>
      <x:c r="D55" s="21" t="n">
        <x:f>INDEX(Sup_Credito!$B$9:$C$9,1,IF($B55="Moto para Todos",1,2))</x:f>
        <x:v>0.5</x:v>
      </x:c>
      <x:c r="E55" s="21" t="n">
        <x:f>INDEX(Sup_Credito!$B$5:$C$5,1,IF($B55="Moto para Todos",1,2))</x:f>
        <x:v>0.9</x:v>
      </x:c>
      <x:c r="F55" t="n">
        <x:f>C55*D55*E55</x:f>
        <x:v>225</x:v>
      </x:c>
      <x:c r="G55" s="16" t="n">
        <x:f>F55*I55</x:f>
        <x:v>1350000000</x:v>
      </x:c>
      <x:c r="H55" t="n">
        <x:f>IFERROR(G55/I55,0)</x:f>
        <x:v>225</x:v>
      </x:c>
      <x:c r="I55" s="16" t="n">
        <x:f>INDEX(Sup_Credito!$B$6:$C$6,1,IF($B55="Moto para Todos",1,2))</x:f>
        <x:v>6000000</x:v>
      </x:c>
      <x:c r="J55" t="str">
        <x:f>IF(SUM(Sup_Credito!$B$11:$C$12)=0,"PENDIENTE SALDOS Y CAPITAL","CALCULADO")</x:f>
        <x:v>PENDIENTE SALDOS Y CAPITAL</x:v>
      </x:c>
    </x:row>
    <x:row r="56">
      <x:c r="A56" s="26" t="n">
        <x:v>47027</x:v>
      </x:c>
      <x:c r="B56" t="str">
        <x:v>Verificarte</x:v>
      </x:c>
      <x:c r="C56" t="n">
        <x:f>SUMIFS(Resultado_Mensual!$D:$D,Resultado_Mensual!$A:$A,$A56)</x:f>
        <x:v>500</x:v>
      </x:c>
      <x:c r="D56" s="21" t="n">
        <x:f>INDEX(Sup_Credito!$B$9:$C$9,1,IF($B56="Moto para Todos",1,2))</x:f>
        <x:v>0.5</x:v>
      </x:c>
      <x:c r="E56" s="21" t="n">
        <x:f>INDEX(Sup_Credito!$B$5:$C$5,1,IF($B56="Moto para Todos",1,2))</x:f>
        <x:v>0.1</x:v>
      </x:c>
      <x:c r="F56" t="n">
        <x:f>C56*D56*E56</x:f>
        <x:v>25</x:v>
      </x:c>
      <x:c r="G56" s="16" t="n">
        <x:f>F56*I56</x:f>
        <x:v>150000000</x:v>
      </x:c>
      <x:c r="H56" t="n">
        <x:f>IFERROR(G56/I56,0)</x:f>
        <x:v>25</x:v>
      </x:c>
      <x:c r="I56" s="16" t="n">
        <x:f>INDEX(Sup_Credito!$B$6:$C$6,1,IF($B56="Moto para Todos",1,2))</x:f>
        <x:v>6000000</x:v>
      </x:c>
      <x:c r="J56" t="str">
        <x:f>IF(SUM(Sup_Credito!$B$11:$C$12)=0,"PENDIENTE SALDOS Y CAPITAL","CALCULADO")</x:f>
        <x:v>PENDIENTE SALDOS Y CAPITAL</x:v>
      </x:c>
    </x:row>
    <x:row r="57">
      <x:c r="A57" s="26" t="n">
        <x:v>47058</x:v>
      </x:c>
      <x:c r="B57" t="str">
        <x:v>Moto para Todos</x:v>
      </x:c>
      <x:c r="C57" t="n">
        <x:f>SUMIFS(Resultado_Mensual!$D:$D,Resultado_Mensual!$A:$A,$A57)</x:f>
        <x:v>500</x:v>
      </x:c>
      <x:c r="D57" s="21" t="n">
        <x:f>INDEX(Sup_Credito!$B$9:$C$9,1,IF($B57="Moto para Todos",1,2))</x:f>
        <x:v>0.5</x:v>
      </x:c>
      <x:c r="E57" s="21" t="n">
        <x:f>INDEX(Sup_Credito!$B$5:$C$5,1,IF($B57="Moto para Todos",1,2))</x:f>
        <x:v>0.9</x:v>
      </x:c>
      <x:c r="F57" t="n">
        <x:f>C57*D57*E57</x:f>
        <x:v>225</x:v>
      </x:c>
      <x:c r="G57" s="16" t="n">
        <x:f>F57*I57</x:f>
        <x:v>1350000000</x:v>
      </x:c>
      <x:c r="H57" t="n">
        <x:f>IFERROR(G57/I57,0)</x:f>
        <x:v>225</x:v>
      </x:c>
      <x:c r="I57" s="16" t="n">
        <x:f>INDEX(Sup_Credito!$B$6:$C$6,1,IF($B57="Moto para Todos",1,2))</x:f>
        <x:v>6000000</x:v>
      </x:c>
      <x:c r="J57" t="str">
        <x:f>IF(SUM(Sup_Credito!$B$11:$C$12)=0,"PENDIENTE SALDOS Y CAPITAL","CALCULADO")</x:f>
        <x:v>PENDIENTE SALDOS Y CAPITAL</x:v>
      </x:c>
    </x:row>
    <x:row r="58">
      <x:c r="A58" s="26" t="n">
        <x:v>47058</x:v>
      </x:c>
      <x:c r="B58" t="str">
        <x:v>Verificarte</x:v>
      </x:c>
      <x:c r="C58" t="n">
        <x:f>SUMIFS(Resultado_Mensual!$D:$D,Resultado_Mensual!$A:$A,$A58)</x:f>
        <x:v>500</x:v>
      </x:c>
      <x:c r="D58" s="21" t="n">
        <x:f>INDEX(Sup_Credito!$B$9:$C$9,1,IF($B58="Moto para Todos",1,2))</x:f>
        <x:v>0.5</x:v>
      </x:c>
      <x:c r="E58" s="21" t="n">
        <x:f>INDEX(Sup_Credito!$B$5:$C$5,1,IF($B58="Moto para Todos",1,2))</x:f>
        <x:v>0.1</x:v>
      </x:c>
      <x:c r="F58" t="n">
        <x:f>C58*D58*E58</x:f>
        <x:v>25</x:v>
      </x:c>
      <x:c r="G58" s="16" t="n">
        <x:f>F58*I58</x:f>
        <x:v>150000000</x:v>
      </x:c>
      <x:c r="H58" t="n">
        <x:f>IFERROR(G58/I58,0)</x:f>
        <x:v>25</x:v>
      </x:c>
      <x:c r="I58" s="16" t="n">
        <x:f>INDEX(Sup_Credito!$B$6:$C$6,1,IF($B58="Moto para Todos",1,2))</x:f>
        <x:v>6000000</x:v>
      </x:c>
      <x:c r="J58" t="str">
        <x:f>IF(SUM(Sup_Credito!$B$11:$C$12)=0,"PENDIENTE SALDOS Y CAPITAL","CALCULADO")</x:f>
        <x:v>PENDIENTE SALDOS Y CAPITAL</x:v>
      </x:c>
    </x:row>
    <x:row r="59">
      <x:c r="A59" s="26" t="n">
        <x:v>47088</x:v>
      </x:c>
      <x:c r="B59" t="str">
        <x:v>Moto para Todos</x:v>
      </x:c>
      <x:c r="C59" t="n">
        <x:f>SUMIFS(Resultado_Mensual!$D:$D,Resultado_Mensual!$A:$A,$A59)</x:f>
        <x:v>500</x:v>
      </x:c>
      <x:c r="D59" s="21" t="n">
        <x:f>INDEX(Sup_Credito!$B$9:$C$9,1,IF($B59="Moto para Todos",1,2))</x:f>
        <x:v>0.5</x:v>
      </x:c>
      <x:c r="E59" s="21" t="n">
        <x:f>INDEX(Sup_Credito!$B$5:$C$5,1,IF($B59="Moto para Todos",1,2))</x:f>
        <x:v>0.9</x:v>
      </x:c>
      <x:c r="F59" t="n">
        <x:f>C59*D59*E59</x:f>
        <x:v>225</x:v>
      </x:c>
      <x:c r="G59" s="16" t="n">
        <x:f>F59*I59</x:f>
        <x:v>1350000000</x:v>
      </x:c>
      <x:c r="H59" t="n">
        <x:f>IFERROR(G59/I59,0)</x:f>
        <x:v>225</x:v>
      </x:c>
      <x:c r="I59" s="16" t="n">
        <x:f>INDEX(Sup_Credito!$B$6:$C$6,1,IF($B59="Moto para Todos",1,2))</x:f>
        <x:v>6000000</x:v>
      </x:c>
      <x:c r="J59" t="str">
        <x:f>IF(SUM(Sup_Credito!$B$11:$C$12)=0,"PENDIENTE SALDOS Y CAPITAL","CALCULADO")</x:f>
        <x:v>PENDIENTE SALDOS Y CAPITAL</x:v>
      </x:c>
    </x:row>
    <x:row r="60">
      <x:c r="A60" s="26" t="n">
        <x:v>47088</x:v>
      </x:c>
      <x:c r="B60" t="str">
        <x:v>Verificarte</x:v>
      </x:c>
      <x:c r="C60" t="n">
        <x:f>SUMIFS(Resultado_Mensual!$D:$D,Resultado_Mensual!$A:$A,$A60)</x:f>
        <x:v>500</x:v>
      </x:c>
      <x:c r="D60" s="21" t="n">
        <x:f>INDEX(Sup_Credito!$B$9:$C$9,1,IF($B60="Moto para Todos",1,2))</x:f>
        <x:v>0.5</x:v>
      </x:c>
      <x:c r="E60" s="21" t="n">
        <x:f>INDEX(Sup_Credito!$B$5:$C$5,1,IF($B60="Moto para Todos",1,2))</x:f>
        <x:v>0.1</x:v>
      </x:c>
      <x:c r="F60" t="n">
        <x:f>C60*D60*E60</x:f>
        <x:v>25</x:v>
      </x:c>
      <x:c r="G60" s="16" t="n">
        <x:f>F60*I60</x:f>
        <x:v>150000000</x:v>
      </x:c>
      <x:c r="H60" t="n">
        <x:f>IFERROR(G60/I60,0)</x:f>
        <x:v>25</x:v>
      </x:c>
      <x:c r="I60" s="16" t="n">
        <x:f>INDEX(Sup_Credito!$B$6:$C$6,1,IF($B60="Moto para Todos",1,2))</x:f>
        <x:v>6000000</x:v>
      </x:c>
      <x:c r="J60" t="str">
        <x:f>IF(SUM(Sup_Credito!$B$11:$C$12)=0,"PENDIENTE SALDOS Y CAPITAL","CALCULADO")</x:f>
        <x:v>PENDIENTE SALDOS Y CAPITAL</x:v>
      </x:c>
    </x:row>
  </x:sheetData>
  <x:mergeCells>
    <x:mergeCell ref="A1:J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20" hidden="0" customWidth="1"/>
    <x:col min="4" max="4" width="2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  <x:col min="10" max="10" width="22" hidden="0" customWidth="1"/>
    <x:col min="11" max="11" width="46" hidden="0" customWidth="1"/>
  </x:cols>
  <x:sheetData>
    <x:row r="1" ht="28" customHeight="1">
      <x:c r="A1" s="4" t="str">
        <x:v>FLUJO PROYECTADO DE CARTERA Y CAPITAL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>
      <x:c r="A4" s="14" t="str">
        <x:v>Periodo</x:v>
      </x:c>
      <x:c r="B4" s="14" t="str">
        <x:v>Financiador</x:v>
      </x:c>
      <x:c r="C4" s="14" t="str">
        <x:v>Saldo inicial cartera</x:v>
      </x:c>
      <x:c r="D4" s="14" t="str">
        <x:v>Saldo inicial capital disponible</x:v>
      </x:c>
      <x:c r="E4" s="14" t="str">
        <x:v>Colocaciones</x:v>
      </x:c>
      <x:c r="F4" s="14" t="str">
        <x:v>Recaudo capital</x:v>
      </x:c>
      <x:c r="G4" s="14" t="str">
        <x:v>Ingreso intereses</x:v>
      </x:c>
      <x:c r="H4" s="14" t="str">
        <x:v>Ingreso seguros</x:v>
      </x:c>
      <x:c r="I4" s="14" t="str">
        <x:v>Saldo final cartera</x:v>
      </x:c>
      <x:c r="J4" s="14" t="str">
        <x:v>Capital disponible final</x:v>
      </x:c>
      <x:c r="K4" s="14" t="str">
        <x:v>Calidad / comentario</x:v>
      </x:c>
    </x:row>
    <x:row r="5">
      <x:c r="A5" s="26" t="n">
        <x:v>46266</x:v>
      </x:c>
      <x:c r="B5" t="str">
        <x:v>Moto para Todos</x:v>
      </x:c>
      <x:c r="C5" s="16" t="n">
        <x:f>IF(COUNTIFS($B$5:B5,$B5)=1,INDEX(Sup_Credito!$B$11:$C$11,1,IF($B5="Moto para Todos",1,2)),I3)</x:f>
        <x:v>0</x:v>
      </x:c>
      <x:c r="D5" s="16" t="n">
        <x:f>IF(COUNTIFS($B$5:B5,$B5)=1,INDEX(Sup_Credito!$B$12:$C$12,1,IF($B5="Moto para Todos",1,2)),J3)</x:f>
        <x:v>0</x:v>
      </x:c>
      <x:c r="E5" s="16" t="n">
        <x:f>MIN(SUMIFS(Proy_Credito!$G:$G,Proy_Credito!$A:$A,$A5,Proy_Credito!$B:$B,$B5),D5+F5)</x:f>
        <x:v>0</x:v>
      </x:c>
      <x:c r="F5" s="16" t="n">
        <x:f>MIN(C5,C5*INDEX(Sup_Credito!$B$13:$C$13,1,IF($B5="Moto para Todos",1,2)))</x:f>
        <x:v>0</x:v>
      </x:c>
      <x:c r="G5" s="16" t="n">
        <x:f>(C5+E5/2)*INDEX(Sup_Credito!$B$8:$C$8,1,IF($B5="Moto para Todos",1,2))</x:f>
        <x:v>0</x:v>
      </x:c>
      <x:c r="H5" s="24" t="n">
        <x:v>0</x:v>
      </x:c>
      <x:c r="I5" s="16" t="n">
        <x:f>MAX(0,C5+E5-F5)</x:f>
        <x:v>0</x:v>
      </x:c>
      <x:c r="J5" s="16" t="n">
        <x:f>MAX(0,D5+F5-E5)</x:f>
        <x:v>0</x:v>
      </x:c>
      <x:c r="K5" t="str">
        <x:f>IF(SUM(Sup_Credito!$B$11:$C$12)=0,"NO DEFINITIVO: completar saldos y capital","PROYECCIÓN EDITABLE")</x:f>
        <x:v>NO DEFINITIVO: completar saldos y capital</x:v>
      </x:c>
    </x:row>
    <x:row r="6">
      <x:c r="A6" s="26" t="n">
        <x:v>46266</x:v>
      </x:c>
      <x:c r="B6" t="str">
        <x:v>Verificarte</x:v>
      </x:c>
      <x:c r="C6" s="16" t="n">
        <x:f>IF(COUNTIFS($B$5:B6,$B6)=1,INDEX(Sup_Credito!$B$11:$C$11,1,IF($B6="Moto para Todos",1,2)),I4)</x:f>
        <x:v>0</x:v>
      </x:c>
      <x:c r="D6" s="16" t="n">
        <x:f>IF(COUNTIFS($B$5:B6,$B6)=1,INDEX(Sup_Credito!$B$12:$C$12,1,IF($B6="Moto para Todos",1,2)),J4)</x:f>
        <x:v>0</x:v>
      </x:c>
      <x:c r="E6" s="16" t="n">
        <x:f>MIN(SUMIFS(Proy_Credito!$G:$G,Proy_Credito!$A:$A,$A6,Proy_Credito!$B:$B,$B6),D6+F6)</x:f>
        <x:v>0</x:v>
      </x:c>
      <x:c r="F6" s="16" t="n">
        <x:f>MIN(C6,C6*INDEX(Sup_Credito!$B$13:$C$13,1,IF($B6="Moto para Todos",1,2)))</x:f>
        <x:v>0</x:v>
      </x:c>
      <x:c r="G6" s="16" t="n">
        <x:f>(C6+E6/2)*INDEX(Sup_Credito!$B$8:$C$8,1,IF($B6="Moto para Todos",1,2))</x:f>
        <x:v>0</x:v>
      </x:c>
      <x:c r="H6" s="24" t="n">
        <x:v>0</x:v>
      </x:c>
      <x:c r="I6" s="16" t="n">
        <x:f>MAX(0,C6+E6-F6)</x:f>
        <x:v>0</x:v>
      </x:c>
      <x:c r="J6" s="16" t="n">
        <x:f>MAX(0,D6+F6-E6)</x:f>
        <x:v>0</x:v>
      </x:c>
      <x:c r="K6" t="str">
        <x:f>IF(SUM(Sup_Credito!$B$11:$C$12)=0,"NO DEFINITIVO: completar saldos y capital","PROYECCIÓN EDITABLE")</x:f>
        <x:v>NO DEFINITIVO: completar saldos y capital</x:v>
      </x:c>
    </x:row>
    <x:row r="7">
      <x:c r="A7" s="26" t="n">
        <x:v>46296</x:v>
      </x:c>
      <x:c r="B7" t="str">
        <x:v>Moto para Todos</x:v>
      </x:c>
      <x:c r="C7" s="16" t="n">
        <x:f>IF(COUNTIFS($B$5:B7,$B7)=1,INDEX(Sup_Credito!$B$11:$C$11,1,IF($B7="Moto para Todos",1,2)),I5)</x:f>
        <x:v>0</x:v>
      </x:c>
      <x:c r="D7" s="16" t="n">
        <x:f>IF(COUNTIFS($B$5:B7,$B7)=1,INDEX(Sup_Credito!$B$12:$C$12,1,IF($B7="Moto para Todos",1,2)),J5)</x:f>
        <x:v>0</x:v>
      </x:c>
      <x:c r="E7" s="16" t="n">
        <x:f>MIN(SUMIFS(Proy_Credito!$G:$G,Proy_Credito!$A:$A,$A7,Proy_Credito!$B:$B,$B7),D7+F7)</x:f>
        <x:v>0</x:v>
      </x:c>
      <x:c r="F7" s="16" t="n">
        <x:f>MIN(C7,C7*INDEX(Sup_Credito!$B$13:$C$13,1,IF($B7="Moto para Todos",1,2)))</x:f>
        <x:v>0</x:v>
      </x:c>
      <x:c r="G7" s="16" t="n">
        <x:f>(C7+E7/2)*INDEX(Sup_Credito!$B$8:$C$8,1,IF($B7="Moto para Todos",1,2))</x:f>
        <x:v>0</x:v>
      </x:c>
      <x:c r="H7" s="24" t="n">
        <x:v>0</x:v>
      </x:c>
      <x:c r="I7" s="16" t="n">
        <x:f>MAX(0,C7+E7-F7)</x:f>
        <x:v>0</x:v>
      </x:c>
      <x:c r="J7" s="16" t="n">
        <x:f>MAX(0,D7+F7-E7)</x:f>
        <x:v>0</x:v>
      </x:c>
      <x:c r="K7" t="str">
        <x:f>IF(SUM(Sup_Credito!$B$11:$C$12)=0,"NO DEFINITIVO: completar saldos y capital","PROYECCIÓN EDITABLE")</x:f>
        <x:v>NO DEFINITIVO: completar saldos y capital</x:v>
      </x:c>
    </x:row>
    <x:row r="8">
      <x:c r="A8" s="26" t="n">
        <x:v>46296</x:v>
      </x:c>
      <x:c r="B8" t="str">
        <x:v>Verificarte</x:v>
      </x:c>
      <x:c r="C8" s="16" t="n">
        <x:f>IF(COUNTIFS($B$5:B8,$B8)=1,INDEX(Sup_Credito!$B$11:$C$11,1,IF($B8="Moto para Todos",1,2)),I6)</x:f>
        <x:v>0</x:v>
      </x:c>
      <x:c r="D8" s="16" t="n">
        <x:f>IF(COUNTIFS($B$5:B8,$B8)=1,INDEX(Sup_Credito!$B$12:$C$12,1,IF($B8="Moto para Todos",1,2)),J6)</x:f>
        <x:v>0</x:v>
      </x:c>
      <x:c r="E8" s="16" t="n">
        <x:f>MIN(SUMIFS(Proy_Credito!$G:$G,Proy_Credito!$A:$A,$A8,Proy_Credito!$B:$B,$B8),D8+F8)</x:f>
        <x:v>0</x:v>
      </x:c>
      <x:c r="F8" s="16" t="n">
        <x:f>MIN(C8,C8*INDEX(Sup_Credito!$B$13:$C$13,1,IF($B8="Moto para Todos",1,2)))</x:f>
        <x:v>0</x:v>
      </x:c>
      <x:c r="G8" s="16" t="n">
        <x:f>(C8+E8/2)*INDEX(Sup_Credito!$B$8:$C$8,1,IF($B8="Moto para Todos",1,2))</x:f>
        <x:v>0</x:v>
      </x:c>
      <x:c r="H8" s="24" t="n">
        <x:v>0</x:v>
      </x:c>
      <x:c r="I8" s="16" t="n">
        <x:f>MAX(0,C8+E8-F8)</x:f>
        <x:v>0</x:v>
      </x:c>
      <x:c r="J8" s="16" t="n">
        <x:f>MAX(0,D8+F8-E8)</x:f>
        <x:v>0</x:v>
      </x:c>
      <x:c r="K8" t="str">
        <x:f>IF(SUM(Sup_Credito!$B$11:$C$12)=0,"NO DEFINITIVO: completar saldos y capital","PROYECCIÓN EDITABLE")</x:f>
        <x:v>NO DEFINITIVO: completar saldos y capital</x:v>
      </x:c>
    </x:row>
    <x:row r="9">
      <x:c r="A9" s="26" t="n">
        <x:v>46327</x:v>
      </x:c>
      <x:c r="B9" t="str">
        <x:v>Moto para Todos</x:v>
      </x:c>
      <x:c r="C9" s="16" t="n">
        <x:f>IF(COUNTIFS($B$5:B9,$B9)=1,INDEX(Sup_Credito!$B$11:$C$11,1,IF($B9="Moto para Todos",1,2)),I7)</x:f>
        <x:v>0</x:v>
      </x:c>
      <x:c r="D9" s="16" t="n">
        <x:f>IF(COUNTIFS($B$5:B9,$B9)=1,INDEX(Sup_Credito!$B$12:$C$12,1,IF($B9="Moto para Todos",1,2)),J7)</x:f>
        <x:v>0</x:v>
      </x:c>
      <x:c r="E9" s="16" t="n">
        <x:f>MIN(SUMIFS(Proy_Credito!$G:$G,Proy_Credito!$A:$A,$A9,Proy_Credito!$B:$B,$B9),D9+F9)</x:f>
        <x:v>0</x:v>
      </x:c>
      <x:c r="F9" s="16" t="n">
        <x:f>MIN(C9,C9*INDEX(Sup_Credito!$B$13:$C$13,1,IF($B9="Moto para Todos",1,2)))</x:f>
        <x:v>0</x:v>
      </x:c>
      <x:c r="G9" s="16" t="n">
        <x:f>(C9+E9/2)*INDEX(Sup_Credito!$B$8:$C$8,1,IF($B9="Moto para Todos",1,2))</x:f>
        <x:v>0</x:v>
      </x:c>
      <x:c r="H9" s="24" t="n">
        <x:v>0</x:v>
      </x:c>
      <x:c r="I9" s="16" t="n">
        <x:f>MAX(0,C9+E9-F9)</x:f>
        <x:v>0</x:v>
      </x:c>
      <x:c r="J9" s="16" t="n">
        <x:f>MAX(0,D9+F9-E9)</x:f>
        <x:v>0</x:v>
      </x:c>
      <x:c r="K9" t="str">
        <x:f>IF(SUM(Sup_Credito!$B$11:$C$12)=0,"NO DEFINITIVO: completar saldos y capital","PROYECCIÓN EDITABLE")</x:f>
        <x:v>NO DEFINITIVO: completar saldos y capital</x:v>
      </x:c>
    </x:row>
    <x:row r="10">
      <x:c r="A10" s="26" t="n">
        <x:v>46327</x:v>
      </x:c>
      <x:c r="B10" t="str">
        <x:v>Verificarte</x:v>
      </x:c>
      <x:c r="C10" s="16" t="n">
        <x:f>IF(COUNTIFS($B$5:B10,$B10)=1,INDEX(Sup_Credito!$B$11:$C$11,1,IF($B10="Moto para Todos",1,2)),I8)</x:f>
        <x:v>0</x:v>
      </x:c>
      <x:c r="D10" s="16" t="n">
        <x:f>IF(COUNTIFS($B$5:B10,$B10)=1,INDEX(Sup_Credito!$B$12:$C$12,1,IF($B10="Moto para Todos",1,2)),J8)</x:f>
        <x:v>0</x:v>
      </x:c>
      <x:c r="E10" s="16" t="n">
        <x:f>MIN(SUMIFS(Proy_Credito!$G:$G,Proy_Credito!$A:$A,$A10,Proy_Credito!$B:$B,$B10),D10+F10)</x:f>
        <x:v>0</x:v>
      </x:c>
      <x:c r="F10" s="16" t="n">
        <x:f>MIN(C10,C10*INDEX(Sup_Credito!$B$13:$C$13,1,IF($B10="Moto para Todos",1,2)))</x:f>
        <x:v>0</x:v>
      </x:c>
      <x:c r="G10" s="16" t="n">
        <x:f>(C10+E10/2)*INDEX(Sup_Credito!$B$8:$C$8,1,IF($B10="Moto para Todos",1,2))</x:f>
        <x:v>0</x:v>
      </x:c>
      <x:c r="H10" s="24" t="n">
        <x:v>0</x:v>
      </x:c>
      <x:c r="I10" s="16" t="n">
        <x:f>MAX(0,C10+E10-F10)</x:f>
        <x:v>0</x:v>
      </x:c>
      <x:c r="J10" s="16" t="n">
        <x:f>MAX(0,D10+F10-E10)</x:f>
        <x:v>0</x:v>
      </x:c>
      <x:c r="K10" t="str">
        <x:f>IF(SUM(Sup_Credito!$B$11:$C$12)=0,"NO DEFINITIVO: completar saldos y capital","PROYECCIÓN EDITABLE")</x:f>
        <x:v>NO DEFINITIVO: completar saldos y capital</x:v>
      </x:c>
    </x:row>
    <x:row r="11">
      <x:c r="A11" s="26" t="n">
        <x:v>46357</x:v>
      </x:c>
      <x:c r="B11" t="str">
        <x:v>Moto para Todos</x:v>
      </x:c>
      <x:c r="C11" s="16" t="n">
        <x:f>IF(COUNTIFS($B$5:B11,$B11)=1,INDEX(Sup_Credito!$B$11:$C$11,1,IF($B11="Moto para Todos",1,2)),I9)</x:f>
        <x:v>0</x:v>
      </x:c>
      <x:c r="D11" s="16" t="n">
        <x:f>IF(COUNTIFS($B$5:B11,$B11)=1,INDEX(Sup_Credito!$B$12:$C$12,1,IF($B11="Moto para Todos",1,2)),J9)</x:f>
        <x:v>0</x:v>
      </x:c>
      <x:c r="E11" s="16" t="n">
        <x:f>MIN(SUMIFS(Proy_Credito!$G:$G,Proy_Credito!$A:$A,$A11,Proy_Credito!$B:$B,$B11),D11+F11)</x:f>
        <x:v>0</x:v>
      </x:c>
      <x:c r="F11" s="16" t="n">
        <x:f>MIN(C11,C11*INDEX(Sup_Credito!$B$13:$C$13,1,IF($B11="Moto para Todos",1,2)))</x:f>
        <x:v>0</x:v>
      </x:c>
      <x:c r="G11" s="16" t="n">
        <x:f>(C11+E11/2)*INDEX(Sup_Credito!$B$8:$C$8,1,IF($B11="Moto para Todos",1,2))</x:f>
        <x:v>0</x:v>
      </x:c>
      <x:c r="H11" s="24" t="n">
        <x:v>0</x:v>
      </x:c>
      <x:c r="I11" s="16" t="n">
        <x:f>MAX(0,C11+E11-F11)</x:f>
        <x:v>0</x:v>
      </x:c>
      <x:c r="J11" s="16" t="n">
        <x:f>MAX(0,D11+F11-E11)</x:f>
        <x:v>0</x:v>
      </x:c>
      <x:c r="K11" t="str">
        <x:f>IF(SUM(Sup_Credito!$B$11:$C$12)=0,"NO DEFINITIVO: completar saldos y capital","PROYECCIÓN EDITABLE")</x:f>
        <x:v>NO DEFINITIVO: completar saldos y capital</x:v>
      </x:c>
    </x:row>
    <x:row r="12">
      <x:c r="A12" s="26" t="n">
        <x:v>46357</x:v>
      </x:c>
      <x:c r="B12" t="str">
        <x:v>Verificarte</x:v>
      </x:c>
      <x:c r="C12" s="16" t="n">
        <x:f>IF(COUNTIFS($B$5:B12,$B12)=1,INDEX(Sup_Credito!$B$11:$C$11,1,IF($B12="Moto para Todos",1,2)),I10)</x:f>
        <x:v>0</x:v>
      </x:c>
      <x:c r="D12" s="16" t="n">
        <x:f>IF(COUNTIFS($B$5:B12,$B12)=1,INDEX(Sup_Credito!$B$12:$C$12,1,IF($B12="Moto para Todos",1,2)),J10)</x:f>
        <x:v>0</x:v>
      </x:c>
      <x:c r="E12" s="16" t="n">
        <x:f>MIN(SUMIFS(Proy_Credito!$G:$G,Proy_Credito!$A:$A,$A12,Proy_Credito!$B:$B,$B12),D12+F12)</x:f>
        <x:v>0</x:v>
      </x:c>
      <x:c r="F12" s="16" t="n">
        <x:f>MIN(C12,C12*INDEX(Sup_Credito!$B$13:$C$13,1,IF($B12="Moto para Todos",1,2)))</x:f>
        <x:v>0</x:v>
      </x:c>
      <x:c r="G12" s="16" t="n">
        <x:f>(C12+E12/2)*INDEX(Sup_Credito!$B$8:$C$8,1,IF($B12="Moto para Todos",1,2))</x:f>
        <x:v>0</x:v>
      </x:c>
      <x:c r="H12" s="24" t="n">
        <x:v>0</x:v>
      </x:c>
      <x:c r="I12" s="16" t="n">
        <x:f>MAX(0,C12+E12-F12)</x:f>
        <x:v>0</x:v>
      </x:c>
      <x:c r="J12" s="16" t="n">
        <x:f>MAX(0,D12+F12-E12)</x:f>
        <x:v>0</x:v>
      </x:c>
      <x:c r="K12" t="str">
        <x:f>IF(SUM(Sup_Credito!$B$11:$C$12)=0,"NO DEFINITIVO: completar saldos y capital","PROYECCIÓN EDITABLE")</x:f>
        <x:v>NO DEFINITIVO: completar saldos y capital</x:v>
      </x:c>
    </x:row>
    <x:row r="13">
      <x:c r="A13" s="26" t="n">
        <x:v>46388</x:v>
      </x:c>
      <x:c r="B13" t="str">
        <x:v>Moto para Todos</x:v>
      </x:c>
      <x:c r="C13" s="16" t="n">
        <x:f>IF(COUNTIFS($B$5:B13,$B13)=1,INDEX(Sup_Credito!$B$11:$C$11,1,IF($B13="Moto para Todos",1,2)),I11)</x:f>
        <x:v>0</x:v>
      </x:c>
      <x:c r="D13" s="16" t="n">
        <x:f>IF(COUNTIFS($B$5:B13,$B13)=1,INDEX(Sup_Credito!$B$12:$C$12,1,IF($B13="Moto para Todos",1,2)),J11)</x:f>
        <x:v>0</x:v>
      </x:c>
      <x:c r="E13" s="16" t="n">
        <x:f>MIN(SUMIFS(Proy_Credito!$G:$G,Proy_Credito!$A:$A,$A13,Proy_Credito!$B:$B,$B13),D13+F13)</x:f>
        <x:v>0</x:v>
      </x:c>
      <x:c r="F13" s="16" t="n">
        <x:f>MIN(C13,C13*INDEX(Sup_Credito!$B$13:$C$13,1,IF($B13="Moto para Todos",1,2)))</x:f>
        <x:v>0</x:v>
      </x:c>
      <x:c r="G13" s="16" t="n">
        <x:f>(C13+E13/2)*INDEX(Sup_Credito!$B$8:$C$8,1,IF($B13="Moto para Todos",1,2))</x:f>
        <x:v>0</x:v>
      </x:c>
      <x:c r="H13" s="24" t="n">
        <x:v>0</x:v>
      </x:c>
      <x:c r="I13" s="16" t="n">
        <x:f>MAX(0,C13+E13-F13)</x:f>
        <x:v>0</x:v>
      </x:c>
      <x:c r="J13" s="16" t="n">
        <x:f>MAX(0,D13+F13-E13)</x:f>
        <x:v>0</x:v>
      </x:c>
      <x:c r="K13" t="str">
        <x:f>IF(SUM(Sup_Credito!$B$11:$C$12)=0,"NO DEFINITIVO: completar saldos y capital","PROYECCIÓN EDITABLE")</x:f>
        <x:v>NO DEFINITIVO: completar saldos y capital</x:v>
      </x:c>
    </x:row>
    <x:row r="14">
      <x:c r="A14" s="26" t="n">
        <x:v>46388</x:v>
      </x:c>
      <x:c r="B14" t="str">
        <x:v>Verificarte</x:v>
      </x:c>
      <x:c r="C14" s="16" t="n">
        <x:f>IF(COUNTIFS($B$5:B14,$B14)=1,INDEX(Sup_Credito!$B$11:$C$11,1,IF($B14="Moto para Todos",1,2)),I12)</x:f>
        <x:v>0</x:v>
      </x:c>
      <x:c r="D14" s="16" t="n">
        <x:f>IF(COUNTIFS($B$5:B14,$B14)=1,INDEX(Sup_Credito!$B$12:$C$12,1,IF($B14="Moto para Todos",1,2)),J12)</x:f>
        <x:v>0</x:v>
      </x:c>
      <x:c r="E14" s="16" t="n">
        <x:f>MIN(SUMIFS(Proy_Credito!$G:$G,Proy_Credito!$A:$A,$A14,Proy_Credito!$B:$B,$B14),D14+F14)</x:f>
        <x:v>0</x:v>
      </x:c>
      <x:c r="F14" s="16" t="n">
        <x:f>MIN(C14,C14*INDEX(Sup_Credito!$B$13:$C$13,1,IF($B14="Moto para Todos",1,2)))</x:f>
        <x:v>0</x:v>
      </x:c>
      <x:c r="G14" s="16" t="n">
        <x:f>(C14+E14/2)*INDEX(Sup_Credito!$B$8:$C$8,1,IF($B14="Moto para Todos",1,2))</x:f>
        <x:v>0</x:v>
      </x:c>
      <x:c r="H14" s="24" t="n">
        <x:v>0</x:v>
      </x:c>
      <x:c r="I14" s="16" t="n">
        <x:f>MAX(0,C14+E14-F14)</x:f>
        <x:v>0</x:v>
      </x:c>
      <x:c r="J14" s="16" t="n">
        <x:f>MAX(0,D14+F14-E14)</x:f>
        <x:v>0</x:v>
      </x:c>
      <x:c r="K14" t="str">
        <x:f>IF(SUM(Sup_Credito!$B$11:$C$12)=0,"NO DEFINITIVO: completar saldos y capital","PROYECCIÓN EDITABLE")</x:f>
        <x:v>NO DEFINITIVO: completar saldos y capital</x:v>
      </x:c>
    </x:row>
    <x:row r="15">
      <x:c r="A15" s="26" t="n">
        <x:v>46419</x:v>
      </x:c>
      <x:c r="B15" t="str">
        <x:v>Moto para Todos</x:v>
      </x:c>
      <x:c r="C15" s="16" t="n">
        <x:f>IF(COUNTIFS($B$5:B15,$B15)=1,INDEX(Sup_Credito!$B$11:$C$11,1,IF($B15="Moto para Todos",1,2)),I13)</x:f>
        <x:v>0</x:v>
      </x:c>
      <x:c r="D15" s="16" t="n">
        <x:f>IF(COUNTIFS($B$5:B15,$B15)=1,INDEX(Sup_Credito!$B$12:$C$12,1,IF($B15="Moto para Todos",1,2)),J13)</x:f>
        <x:v>0</x:v>
      </x:c>
      <x:c r="E15" s="16" t="n">
        <x:f>MIN(SUMIFS(Proy_Credito!$G:$G,Proy_Credito!$A:$A,$A15,Proy_Credito!$B:$B,$B15),D15+F15)</x:f>
        <x:v>0</x:v>
      </x:c>
      <x:c r="F15" s="16" t="n">
        <x:f>MIN(C15,C15*INDEX(Sup_Credito!$B$13:$C$13,1,IF($B15="Moto para Todos",1,2)))</x:f>
        <x:v>0</x:v>
      </x:c>
      <x:c r="G15" s="16" t="n">
        <x:f>(C15+E15/2)*INDEX(Sup_Credito!$B$8:$C$8,1,IF($B15="Moto para Todos",1,2))</x:f>
        <x:v>0</x:v>
      </x:c>
      <x:c r="H15" s="24" t="n">
        <x:v>0</x:v>
      </x:c>
      <x:c r="I15" s="16" t="n">
        <x:f>MAX(0,C15+E15-F15)</x:f>
        <x:v>0</x:v>
      </x:c>
      <x:c r="J15" s="16" t="n">
        <x:f>MAX(0,D15+F15-E15)</x:f>
        <x:v>0</x:v>
      </x:c>
      <x:c r="K15" t="str">
        <x:f>IF(SUM(Sup_Credito!$B$11:$C$12)=0,"NO DEFINITIVO: completar saldos y capital","PROYECCIÓN EDITABLE")</x:f>
        <x:v>NO DEFINITIVO: completar saldos y capital</x:v>
      </x:c>
    </x:row>
    <x:row r="16">
      <x:c r="A16" s="26" t="n">
        <x:v>46419</x:v>
      </x:c>
      <x:c r="B16" t="str">
        <x:v>Verificarte</x:v>
      </x:c>
      <x:c r="C16" s="16" t="n">
        <x:f>IF(COUNTIFS($B$5:B16,$B16)=1,INDEX(Sup_Credito!$B$11:$C$11,1,IF($B16="Moto para Todos",1,2)),I14)</x:f>
        <x:v>0</x:v>
      </x:c>
      <x:c r="D16" s="16" t="n">
        <x:f>IF(COUNTIFS($B$5:B16,$B16)=1,INDEX(Sup_Credito!$B$12:$C$12,1,IF($B16="Moto para Todos",1,2)),J14)</x:f>
        <x:v>0</x:v>
      </x:c>
      <x:c r="E16" s="16" t="n">
        <x:f>MIN(SUMIFS(Proy_Credito!$G:$G,Proy_Credito!$A:$A,$A16,Proy_Credito!$B:$B,$B16),D16+F16)</x:f>
        <x:v>0</x:v>
      </x:c>
      <x:c r="F16" s="16" t="n">
        <x:f>MIN(C16,C16*INDEX(Sup_Credito!$B$13:$C$13,1,IF($B16="Moto para Todos",1,2)))</x:f>
        <x:v>0</x:v>
      </x:c>
      <x:c r="G16" s="16" t="n">
        <x:f>(C16+E16/2)*INDEX(Sup_Credito!$B$8:$C$8,1,IF($B16="Moto para Todos",1,2))</x:f>
        <x:v>0</x:v>
      </x:c>
      <x:c r="H16" s="24" t="n">
        <x:v>0</x:v>
      </x:c>
      <x:c r="I16" s="16" t="n">
        <x:f>MAX(0,C16+E16-F16)</x:f>
        <x:v>0</x:v>
      </x:c>
      <x:c r="J16" s="16" t="n">
        <x:f>MAX(0,D16+F16-E16)</x:f>
        <x:v>0</x:v>
      </x:c>
      <x:c r="K16" t="str">
        <x:f>IF(SUM(Sup_Credito!$B$11:$C$12)=0,"NO DEFINITIVO: completar saldos y capital","PROYECCIÓN EDITABLE")</x:f>
        <x:v>NO DEFINITIVO: completar saldos y capital</x:v>
      </x:c>
    </x:row>
    <x:row r="17">
      <x:c r="A17" s="26" t="n">
        <x:v>46447</x:v>
      </x:c>
      <x:c r="B17" t="str">
        <x:v>Moto para Todos</x:v>
      </x:c>
      <x:c r="C17" s="16" t="n">
        <x:f>IF(COUNTIFS($B$5:B17,$B17)=1,INDEX(Sup_Credito!$B$11:$C$11,1,IF($B17="Moto para Todos",1,2)),I15)</x:f>
        <x:v>0</x:v>
      </x:c>
      <x:c r="D17" s="16" t="n">
        <x:f>IF(COUNTIFS($B$5:B17,$B17)=1,INDEX(Sup_Credito!$B$12:$C$12,1,IF($B17="Moto para Todos",1,2)),J15)</x:f>
        <x:v>0</x:v>
      </x:c>
      <x:c r="E17" s="16" t="n">
        <x:f>MIN(SUMIFS(Proy_Credito!$G:$G,Proy_Credito!$A:$A,$A17,Proy_Credito!$B:$B,$B17),D17+F17)</x:f>
        <x:v>0</x:v>
      </x:c>
      <x:c r="F17" s="16" t="n">
        <x:f>MIN(C17,C17*INDEX(Sup_Credito!$B$13:$C$13,1,IF($B17="Moto para Todos",1,2)))</x:f>
        <x:v>0</x:v>
      </x:c>
      <x:c r="G17" s="16" t="n">
        <x:f>(C17+E17/2)*INDEX(Sup_Credito!$B$8:$C$8,1,IF($B17="Moto para Todos",1,2))</x:f>
        <x:v>0</x:v>
      </x:c>
      <x:c r="H17" s="24" t="n">
        <x:v>0</x:v>
      </x:c>
      <x:c r="I17" s="16" t="n">
        <x:f>MAX(0,C17+E17-F17)</x:f>
        <x:v>0</x:v>
      </x:c>
      <x:c r="J17" s="16" t="n">
        <x:f>MAX(0,D17+F17-E17)</x:f>
        <x:v>0</x:v>
      </x:c>
      <x:c r="K17" t="str">
        <x:f>IF(SUM(Sup_Credito!$B$11:$C$12)=0,"NO DEFINITIVO: completar saldos y capital","PROYECCIÓN EDITABLE")</x:f>
        <x:v>NO DEFINITIVO: completar saldos y capital</x:v>
      </x:c>
    </x:row>
    <x:row r="18">
      <x:c r="A18" s="26" t="n">
        <x:v>46447</x:v>
      </x:c>
      <x:c r="B18" t="str">
        <x:v>Verificarte</x:v>
      </x:c>
      <x:c r="C18" s="16" t="n">
        <x:f>IF(COUNTIFS($B$5:B18,$B18)=1,INDEX(Sup_Credito!$B$11:$C$11,1,IF($B18="Moto para Todos",1,2)),I16)</x:f>
        <x:v>0</x:v>
      </x:c>
      <x:c r="D18" s="16" t="n">
        <x:f>IF(COUNTIFS($B$5:B18,$B18)=1,INDEX(Sup_Credito!$B$12:$C$12,1,IF($B18="Moto para Todos",1,2)),J16)</x:f>
        <x:v>0</x:v>
      </x:c>
      <x:c r="E18" s="16" t="n">
        <x:f>MIN(SUMIFS(Proy_Credito!$G:$G,Proy_Credito!$A:$A,$A18,Proy_Credito!$B:$B,$B18),D18+F18)</x:f>
        <x:v>0</x:v>
      </x:c>
      <x:c r="F18" s="16" t="n">
        <x:f>MIN(C18,C18*INDEX(Sup_Credito!$B$13:$C$13,1,IF($B18="Moto para Todos",1,2)))</x:f>
        <x:v>0</x:v>
      </x:c>
      <x:c r="G18" s="16" t="n">
        <x:f>(C18+E18/2)*INDEX(Sup_Credito!$B$8:$C$8,1,IF($B18="Moto para Todos",1,2))</x:f>
        <x:v>0</x:v>
      </x:c>
      <x:c r="H18" s="24" t="n">
        <x:v>0</x:v>
      </x:c>
      <x:c r="I18" s="16" t="n">
        <x:f>MAX(0,C18+E18-F18)</x:f>
        <x:v>0</x:v>
      </x:c>
      <x:c r="J18" s="16" t="n">
        <x:f>MAX(0,D18+F18-E18)</x:f>
        <x:v>0</x:v>
      </x:c>
      <x:c r="K18" t="str">
        <x:f>IF(SUM(Sup_Credito!$B$11:$C$12)=0,"NO DEFINITIVO: completar saldos y capital","PROYECCIÓN EDITABLE")</x:f>
        <x:v>NO DEFINITIVO: completar saldos y capital</x:v>
      </x:c>
    </x:row>
    <x:row r="19">
      <x:c r="A19" s="26" t="n">
        <x:v>46478</x:v>
      </x:c>
      <x:c r="B19" t="str">
        <x:v>Moto para Todos</x:v>
      </x:c>
      <x:c r="C19" s="16" t="n">
        <x:f>IF(COUNTIFS($B$5:B19,$B19)=1,INDEX(Sup_Credito!$B$11:$C$11,1,IF($B19="Moto para Todos",1,2)),I17)</x:f>
        <x:v>0</x:v>
      </x:c>
      <x:c r="D19" s="16" t="n">
        <x:f>IF(COUNTIFS($B$5:B19,$B19)=1,INDEX(Sup_Credito!$B$12:$C$12,1,IF($B19="Moto para Todos",1,2)),J17)</x:f>
        <x:v>0</x:v>
      </x:c>
      <x:c r="E19" s="16" t="n">
        <x:f>MIN(SUMIFS(Proy_Credito!$G:$G,Proy_Credito!$A:$A,$A19,Proy_Credito!$B:$B,$B19),D19+F19)</x:f>
        <x:v>0</x:v>
      </x:c>
      <x:c r="F19" s="16" t="n">
        <x:f>MIN(C19,C19*INDEX(Sup_Credito!$B$13:$C$13,1,IF($B19="Moto para Todos",1,2)))</x:f>
        <x:v>0</x:v>
      </x:c>
      <x:c r="G19" s="16" t="n">
        <x:f>(C19+E19/2)*INDEX(Sup_Credito!$B$8:$C$8,1,IF($B19="Moto para Todos",1,2))</x:f>
        <x:v>0</x:v>
      </x:c>
      <x:c r="H19" s="24" t="n">
        <x:v>0</x:v>
      </x:c>
      <x:c r="I19" s="16" t="n">
        <x:f>MAX(0,C19+E19-F19)</x:f>
        <x:v>0</x:v>
      </x:c>
      <x:c r="J19" s="16" t="n">
        <x:f>MAX(0,D19+F19-E19)</x:f>
        <x:v>0</x:v>
      </x:c>
      <x:c r="K19" t="str">
        <x:f>IF(SUM(Sup_Credito!$B$11:$C$12)=0,"NO DEFINITIVO: completar saldos y capital","PROYECCIÓN EDITABLE")</x:f>
        <x:v>NO DEFINITIVO: completar saldos y capital</x:v>
      </x:c>
    </x:row>
    <x:row r="20">
      <x:c r="A20" s="26" t="n">
        <x:v>46478</x:v>
      </x:c>
      <x:c r="B20" t="str">
        <x:v>Verificarte</x:v>
      </x:c>
      <x:c r="C20" s="16" t="n">
        <x:f>IF(COUNTIFS($B$5:B20,$B20)=1,INDEX(Sup_Credito!$B$11:$C$11,1,IF($B20="Moto para Todos",1,2)),I18)</x:f>
        <x:v>0</x:v>
      </x:c>
      <x:c r="D20" s="16" t="n">
        <x:f>IF(COUNTIFS($B$5:B20,$B20)=1,INDEX(Sup_Credito!$B$12:$C$12,1,IF($B20="Moto para Todos",1,2)),J18)</x:f>
        <x:v>0</x:v>
      </x:c>
      <x:c r="E20" s="16" t="n">
        <x:f>MIN(SUMIFS(Proy_Credito!$G:$G,Proy_Credito!$A:$A,$A20,Proy_Credito!$B:$B,$B20),D20+F20)</x:f>
        <x:v>0</x:v>
      </x:c>
      <x:c r="F20" s="16" t="n">
        <x:f>MIN(C20,C20*INDEX(Sup_Credito!$B$13:$C$13,1,IF($B20="Moto para Todos",1,2)))</x:f>
        <x:v>0</x:v>
      </x:c>
      <x:c r="G20" s="16" t="n">
        <x:f>(C20+E20/2)*INDEX(Sup_Credito!$B$8:$C$8,1,IF($B20="Moto para Todos",1,2))</x:f>
        <x:v>0</x:v>
      </x:c>
      <x:c r="H20" s="24" t="n">
        <x:v>0</x:v>
      </x:c>
      <x:c r="I20" s="16" t="n">
        <x:f>MAX(0,C20+E20-F20)</x:f>
        <x:v>0</x:v>
      </x:c>
      <x:c r="J20" s="16" t="n">
        <x:f>MAX(0,D20+F20-E20)</x:f>
        <x:v>0</x:v>
      </x:c>
      <x:c r="K20" t="str">
        <x:f>IF(SUM(Sup_Credito!$B$11:$C$12)=0,"NO DEFINITIVO: completar saldos y capital","PROYECCIÓN EDITABLE")</x:f>
        <x:v>NO DEFINITIVO: completar saldos y capital</x:v>
      </x:c>
    </x:row>
    <x:row r="21">
      <x:c r="A21" s="26" t="n">
        <x:v>46508</x:v>
      </x:c>
      <x:c r="B21" t="str">
        <x:v>Moto para Todos</x:v>
      </x:c>
      <x:c r="C21" s="16" t="n">
        <x:f>IF(COUNTIFS($B$5:B21,$B21)=1,INDEX(Sup_Credito!$B$11:$C$11,1,IF($B21="Moto para Todos",1,2)),I19)</x:f>
        <x:v>0</x:v>
      </x:c>
      <x:c r="D21" s="16" t="n">
        <x:f>IF(COUNTIFS($B$5:B21,$B21)=1,INDEX(Sup_Credito!$B$12:$C$12,1,IF($B21="Moto para Todos",1,2)),J19)</x:f>
        <x:v>0</x:v>
      </x:c>
      <x:c r="E21" s="16" t="n">
        <x:f>MIN(SUMIFS(Proy_Credito!$G:$G,Proy_Credito!$A:$A,$A21,Proy_Credito!$B:$B,$B21),D21+F21)</x:f>
        <x:v>0</x:v>
      </x:c>
      <x:c r="F21" s="16" t="n">
        <x:f>MIN(C21,C21*INDEX(Sup_Credito!$B$13:$C$13,1,IF($B21="Moto para Todos",1,2)))</x:f>
        <x:v>0</x:v>
      </x:c>
      <x:c r="G21" s="16" t="n">
        <x:f>(C21+E21/2)*INDEX(Sup_Credito!$B$8:$C$8,1,IF($B21="Moto para Todos",1,2))</x:f>
        <x:v>0</x:v>
      </x:c>
      <x:c r="H21" s="24" t="n">
        <x:v>0</x:v>
      </x:c>
      <x:c r="I21" s="16" t="n">
        <x:f>MAX(0,C21+E21-F21)</x:f>
        <x:v>0</x:v>
      </x:c>
      <x:c r="J21" s="16" t="n">
        <x:f>MAX(0,D21+F21-E21)</x:f>
        <x:v>0</x:v>
      </x:c>
      <x:c r="K21" t="str">
        <x:f>IF(SUM(Sup_Credito!$B$11:$C$12)=0,"NO DEFINITIVO: completar saldos y capital","PROYECCIÓN EDITABLE")</x:f>
        <x:v>NO DEFINITIVO: completar saldos y capital</x:v>
      </x:c>
    </x:row>
    <x:row r="22">
      <x:c r="A22" s="26" t="n">
        <x:v>46508</x:v>
      </x:c>
      <x:c r="B22" t="str">
        <x:v>Verificarte</x:v>
      </x:c>
      <x:c r="C22" s="16" t="n">
        <x:f>IF(COUNTIFS($B$5:B22,$B22)=1,INDEX(Sup_Credito!$B$11:$C$11,1,IF($B22="Moto para Todos",1,2)),I20)</x:f>
        <x:v>0</x:v>
      </x:c>
      <x:c r="D22" s="16" t="n">
        <x:f>IF(COUNTIFS($B$5:B22,$B22)=1,INDEX(Sup_Credito!$B$12:$C$12,1,IF($B22="Moto para Todos",1,2)),J20)</x:f>
        <x:v>0</x:v>
      </x:c>
      <x:c r="E22" s="16" t="n">
        <x:f>MIN(SUMIFS(Proy_Credito!$G:$G,Proy_Credito!$A:$A,$A22,Proy_Credito!$B:$B,$B22),D22+F22)</x:f>
        <x:v>0</x:v>
      </x:c>
      <x:c r="F22" s="16" t="n">
        <x:f>MIN(C22,C22*INDEX(Sup_Credito!$B$13:$C$13,1,IF($B22="Moto para Todos",1,2)))</x:f>
        <x:v>0</x:v>
      </x:c>
      <x:c r="G22" s="16" t="n">
        <x:f>(C22+E22/2)*INDEX(Sup_Credito!$B$8:$C$8,1,IF($B22="Moto para Todos",1,2))</x:f>
        <x:v>0</x:v>
      </x:c>
      <x:c r="H22" s="24" t="n">
        <x:v>0</x:v>
      </x:c>
      <x:c r="I22" s="16" t="n">
        <x:f>MAX(0,C22+E22-F22)</x:f>
        <x:v>0</x:v>
      </x:c>
      <x:c r="J22" s="16" t="n">
        <x:f>MAX(0,D22+F22-E22)</x:f>
        <x:v>0</x:v>
      </x:c>
      <x:c r="K22" t="str">
        <x:f>IF(SUM(Sup_Credito!$B$11:$C$12)=0,"NO DEFINITIVO: completar saldos y capital","PROYECCIÓN EDITABLE")</x:f>
        <x:v>NO DEFINITIVO: completar saldos y capital</x:v>
      </x:c>
    </x:row>
    <x:row r="23">
      <x:c r="A23" s="26" t="n">
        <x:v>46539</x:v>
      </x:c>
      <x:c r="B23" t="str">
        <x:v>Moto para Todos</x:v>
      </x:c>
      <x:c r="C23" s="16" t="n">
        <x:f>IF(COUNTIFS($B$5:B23,$B23)=1,INDEX(Sup_Credito!$B$11:$C$11,1,IF($B23="Moto para Todos",1,2)),I21)</x:f>
        <x:v>0</x:v>
      </x:c>
      <x:c r="D23" s="16" t="n">
        <x:f>IF(COUNTIFS($B$5:B23,$B23)=1,INDEX(Sup_Credito!$B$12:$C$12,1,IF($B23="Moto para Todos",1,2)),J21)</x:f>
        <x:v>0</x:v>
      </x:c>
      <x:c r="E23" s="16" t="n">
        <x:f>MIN(SUMIFS(Proy_Credito!$G:$G,Proy_Credito!$A:$A,$A23,Proy_Credito!$B:$B,$B23),D23+F23)</x:f>
        <x:v>0</x:v>
      </x:c>
      <x:c r="F23" s="16" t="n">
        <x:f>MIN(C23,C23*INDEX(Sup_Credito!$B$13:$C$13,1,IF($B23="Moto para Todos",1,2)))</x:f>
        <x:v>0</x:v>
      </x:c>
      <x:c r="G23" s="16" t="n">
        <x:f>(C23+E23/2)*INDEX(Sup_Credito!$B$8:$C$8,1,IF($B23="Moto para Todos",1,2))</x:f>
        <x:v>0</x:v>
      </x:c>
      <x:c r="H23" s="24" t="n">
        <x:v>0</x:v>
      </x:c>
      <x:c r="I23" s="16" t="n">
        <x:f>MAX(0,C23+E23-F23)</x:f>
        <x:v>0</x:v>
      </x:c>
      <x:c r="J23" s="16" t="n">
        <x:f>MAX(0,D23+F23-E23)</x:f>
        <x:v>0</x:v>
      </x:c>
      <x:c r="K23" t="str">
        <x:f>IF(SUM(Sup_Credito!$B$11:$C$12)=0,"NO DEFINITIVO: completar saldos y capital","PROYECCIÓN EDITABLE")</x:f>
        <x:v>NO DEFINITIVO: completar saldos y capital</x:v>
      </x:c>
    </x:row>
    <x:row r="24">
      <x:c r="A24" s="26" t="n">
        <x:v>46539</x:v>
      </x:c>
      <x:c r="B24" t="str">
        <x:v>Verificarte</x:v>
      </x:c>
      <x:c r="C24" s="16" t="n">
        <x:f>IF(COUNTIFS($B$5:B24,$B24)=1,INDEX(Sup_Credito!$B$11:$C$11,1,IF($B24="Moto para Todos",1,2)),I22)</x:f>
        <x:v>0</x:v>
      </x:c>
      <x:c r="D24" s="16" t="n">
        <x:f>IF(COUNTIFS($B$5:B24,$B24)=1,INDEX(Sup_Credito!$B$12:$C$12,1,IF($B24="Moto para Todos",1,2)),J22)</x:f>
        <x:v>0</x:v>
      </x:c>
      <x:c r="E24" s="16" t="n">
        <x:f>MIN(SUMIFS(Proy_Credito!$G:$G,Proy_Credito!$A:$A,$A24,Proy_Credito!$B:$B,$B24),D24+F24)</x:f>
        <x:v>0</x:v>
      </x:c>
      <x:c r="F24" s="16" t="n">
        <x:f>MIN(C24,C24*INDEX(Sup_Credito!$B$13:$C$13,1,IF($B24="Moto para Todos",1,2)))</x:f>
        <x:v>0</x:v>
      </x:c>
      <x:c r="G24" s="16" t="n">
        <x:f>(C24+E24/2)*INDEX(Sup_Credito!$B$8:$C$8,1,IF($B24="Moto para Todos",1,2))</x:f>
        <x:v>0</x:v>
      </x:c>
      <x:c r="H24" s="24" t="n">
        <x:v>0</x:v>
      </x:c>
      <x:c r="I24" s="16" t="n">
        <x:f>MAX(0,C24+E24-F24)</x:f>
        <x:v>0</x:v>
      </x:c>
      <x:c r="J24" s="16" t="n">
        <x:f>MAX(0,D24+F24-E24)</x:f>
        <x:v>0</x:v>
      </x:c>
      <x:c r="K24" t="str">
        <x:f>IF(SUM(Sup_Credito!$B$11:$C$12)=0,"NO DEFINITIVO: completar saldos y capital","PROYECCIÓN EDITABLE")</x:f>
        <x:v>NO DEFINITIVO: completar saldos y capital</x:v>
      </x:c>
    </x:row>
    <x:row r="25">
      <x:c r="A25" s="26" t="n">
        <x:v>46569</x:v>
      </x:c>
      <x:c r="B25" t="str">
        <x:v>Moto para Todos</x:v>
      </x:c>
      <x:c r="C25" s="16" t="n">
        <x:f>IF(COUNTIFS($B$5:B25,$B25)=1,INDEX(Sup_Credito!$B$11:$C$11,1,IF($B25="Moto para Todos",1,2)),I23)</x:f>
        <x:v>0</x:v>
      </x:c>
      <x:c r="D25" s="16" t="n">
        <x:f>IF(COUNTIFS($B$5:B25,$B25)=1,INDEX(Sup_Credito!$B$12:$C$12,1,IF($B25="Moto para Todos",1,2)),J23)</x:f>
        <x:v>0</x:v>
      </x:c>
      <x:c r="E25" s="16" t="n">
        <x:f>MIN(SUMIFS(Proy_Credito!$G:$G,Proy_Credito!$A:$A,$A25,Proy_Credito!$B:$B,$B25),D25+F25)</x:f>
        <x:v>0</x:v>
      </x:c>
      <x:c r="F25" s="16" t="n">
        <x:f>MIN(C25,C25*INDEX(Sup_Credito!$B$13:$C$13,1,IF($B25="Moto para Todos",1,2)))</x:f>
        <x:v>0</x:v>
      </x:c>
      <x:c r="G25" s="16" t="n">
        <x:f>(C25+E25/2)*INDEX(Sup_Credito!$B$8:$C$8,1,IF($B25="Moto para Todos",1,2))</x:f>
        <x:v>0</x:v>
      </x:c>
      <x:c r="H25" s="24" t="n">
        <x:v>0</x:v>
      </x:c>
      <x:c r="I25" s="16" t="n">
        <x:f>MAX(0,C25+E25-F25)</x:f>
        <x:v>0</x:v>
      </x:c>
      <x:c r="J25" s="16" t="n">
        <x:f>MAX(0,D25+F25-E25)</x:f>
        <x:v>0</x:v>
      </x:c>
      <x:c r="K25" t="str">
        <x:f>IF(SUM(Sup_Credito!$B$11:$C$12)=0,"NO DEFINITIVO: completar saldos y capital","PROYECCIÓN EDITABLE")</x:f>
        <x:v>NO DEFINITIVO: completar saldos y capital</x:v>
      </x:c>
    </x:row>
    <x:row r="26">
      <x:c r="A26" s="26" t="n">
        <x:v>46569</x:v>
      </x:c>
      <x:c r="B26" t="str">
        <x:v>Verificarte</x:v>
      </x:c>
      <x:c r="C26" s="16" t="n">
        <x:f>IF(COUNTIFS($B$5:B26,$B26)=1,INDEX(Sup_Credito!$B$11:$C$11,1,IF($B26="Moto para Todos",1,2)),I24)</x:f>
        <x:v>0</x:v>
      </x:c>
      <x:c r="D26" s="16" t="n">
        <x:f>IF(COUNTIFS($B$5:B26,$B26)=1,INDEX(Sup_Credito!$B$12:$C$12,1,IF($B26="Moto para Todos",1,2)),J24)</x:f>
        <x:v>0</x:v>
      </x:c>
      <x:c r="E26" s="16" t="n">
        <x:f>MIN(SUMIFS(Proy_Credito!$G:$G,Proy_Credito!$A:$A,$A26,Proy_Credito!$B:$B,$B26),D26+F26)</x:f>
        <x:v>0</x:v>
      </x:c>
      <x:c r="F26" s="16" t="n">
        <x:f>MIN(C26,C26*INDEX(Sup_Credito!$B$13:$C$13,1,IF($B26="Moto para Todos",1,2)))</x:f>
        <x:v>0</x:v>
      </x:c>
      <x:c r="G26" s="16" t="n">
        <x:f>(C26+E26/2)*INDEX(Sup_Credito!$B$8:$C$8,1,IF($B26="Moto para Todos",1,2))</x:f>
        <x:v>0</x:v>
      </x:c>
      <x:c r="H26" s="24" t="n">
        <x:v>0</x:v>
      </x:c>
      <x:c r="I26" s="16" t="n">
        <x:f>MAX(0,C26+E26-F26)</x:f>
        <x:v>0</x:v>
      </x:c>
      <x:c r="J26" s="16" t="n">
        <x:f>MAX(0,D26+F26-E26)</x:f>
        <x:v>0</x:v>
      </x:c>
      <x:c r="K26" t="str">
        <x:f>IF(SUM(Sup_Credito!$B$11:$C$12)=0,"NO DEFINITIVO: completar saldos y capital","PROYECCIÓN EDITABLE")</x:f>
        <x:v>NO DEFINITIVO: completar saldos y capital</x:v>
      </x:c>
    </x:row>
    <x:row r="27">
      <x:c r="A27" s="26" t="n">
        <x:v>46600</x:v>
      </x:c>
      <x:c r="B27" t="str">
        <x:v>Moto para Todos</x:v>
      </x:c>
      <x:c r="C27" s="16" t="n">
        <x:f>IF(COUNTIFS($B$5:B27,$B27)=1,INDEX(Sup_Credito!$B$11:$C$11,1,IF($B27="Moto para Todos",1,2)),I25)</x:f>
        <x:v>0</x:v>
      </x:c>
      <x:c r="D27" s="16" t="n">
        <x:f>IF(COUNTIFS($B$5:B27,$B27)=1,INDEX(Sup_Credito!$B$12:$C$12,1,IF($B27="Moto para Todos",1,2)),J25)</x:f>
        <x:v>0</x:v>
      </x:c>
      <x:c r="E27" s="16" t="n">
        <x:f>MIN(SUMIFS(Proy_Credito!$G:$G,Proy_Credito!$A:$A,$A27,Proy_Credito!$B:$B,$B27),D27+F27)</x:f>
        <x:v>0</x:v>
      </x:c>
      <x:c r="F27" s="16" t="n">
        <x:f>MIN(C27,C27*INDEX(Sup_Credito!$B$13:$C$13,1,IF($B27="Moto para Todos",1,2)))</x:f>
        <x:v>0</x:v>
      </x:c>
      <x:c r="G27" s="16" t="n">
        <x:f>(C27+E27/2)*INDEX(Sup_Credito!$B$8:$C$8,1,IF($B27="Moto para Todos",1,2))</x:f>
        <x:v>0</x:v>
      </x:c>
      <x:c r="H27" s="24" t="n">
        <x:v>0</x:v>
      </x:c>
      <x:c r="I27" s="16" t="n">
        <x:f>MAX(0,C27+E27-F27)</x:f>
        <x:v>0</x:v>
      </x:c>
      <x:c r="J27" s="16" t="n">
        <x:f>MAX(0,D27+F27-E27)</x:f>
        <x:v>0</x:v>
      </x:c>
      <x:c r="K27" t="str">
        <x:f>IF(SUM(Sup_Credito!$B$11:$C$12)=0,"NO DEFINITIVO: completar saldos y capital","PROYECCIÓN EDITABLE")</x:f>
        <x:v>NO DEFINITIVO: completar saldos y capital</x:v>
      </x:c>
    </x:row>
    <x:row r="28">
      <x:c r="A28" s="26" t="n">
        <x:v>46600</x:v>
      </x:c>
      <x:c r="B28" t="str">
        <x:v>Verificarte</x:v>
      </x:c>
      <x:c r="C28" s="16" t="n">
        <x:f>IF(COUNTIFS($B$5:B28,$B28)=1,INDEX(Sup_Credito!$B$11:$C$11,1,IF($B28="Moto para Todos",1,2)),I26)</x:f>
        <x:v>0</x:v>
      </x:c>
      <x:c r="D28" s="16" t="n">
        <x:f>IF(COUNTIFS($B$5:B28,$B28)=1,INDEX(Sup_Credito!$B$12:$C$12,1,IF($B28="Moto para Todos",1,2)),J26)</x:f>
        <x:v>0</x:v>
      </x:c>
      <x:c r="E28" s="16" t="n">
        <x:f>MIN(SUMIFS(Proy_Credito!$G:$G,Proy_Credito!$A:$A,$A28,Proy_Credito!$B:$B,$B28),D28+F28)</x:f>
        <x:v>0</x:v>
      </x:c>
      <x:c r="F28" s="16" t="n">
        <x:f>MIN(C28,C28*INDEX(Sup_Credito!$B$13:$C$13,1,IF($B28="Moto para Todos",1,2)))</x:f>
        <x:v>0</x:v>
      </x:c>
      <x:c r="G28" s="16" t="n">
        <x:f>(C28+E28/2)*INDEX(Sup_Credito!$B$8:$C$8,1,IF($B28="Moto para Todos",1,2))</x:f>
        <x:v>0</x:v>
      </x:c>
      <x:c r="H28" s="24" t="n">
        <x:v>0</x:v>
      </x:c>
      <x:c r="I28" s="16" t="n">
        <x:f>MAX(0,C28+E28-F28)</x:f>
        <x:v>0</x:v>
      </x:c>
      <x:c r="J28" s="16" t="n">
        <x:f>MAX(0,D28+F28-E28)</x:f>
        <x:v>0</x:v>
      </x:c>
      <x:c r="K28" t="str">
        <x:f>IF(SUM(Sup_Credito!$B$11:$C$12)=0,"NO DEFINITIVO: completar saldos y capital","PROYECCIÓN EDITABLE")</x:f>
        <x:v>NO DEFINITIVO: completar saldos y capital</x:v>
      </x:c>
    </x:row>
    <x:row r="29">
      <x:c r="A29" s="26" t="n">
        <x:v>46631</x:v>
      </x:c>
      <x:c r="B29" t="str">
        <x:v>Moto para Todos</x:v>
      </x:c>
      <x:c r="C29" s="16" t="n">
        <x:f>IF(COUNTIFS($B$5:B29,$B29)=1,INDEX(Sup_Credito!$B$11:$C$11,1,IF($B29="Moto para Todos",1,2)),I27)</x:f>
        <x:v>0</x:v>
      </x:c>
      <x:c r="D29" s="16" t="n">
        <x:f>IF(COUNTIFS($B$5:B29,$B29)=1,INDEX(Sup_Credito!$B$12:$C$12,1,IF($B29="Moto para Todos",1,2)),J27)</x:f>
        <x:v>0</x:v>
      </x:c>
      <x:c r="E29" s="16" t="n">
        <x:f>MIN(SUMIFS(Proy_Credito!$G:$G,Proy_Credito!$A:$A,$A29,Proy_Credito!$B:$B,$B29),D29+F29)</x:f>
        <x:v>0</x:v>
      </x:c>
      <x:c r="F29" s="16" t="n">
        <x:f>MIN(C29,C29*INDEX(Sup_Credito!$B$13:$C$13,1,IF($B29="Moto para Todos",1,2)))</x:f>
        <x:v>0</x:v>
      </x:c>
      <x:c r="G29" s="16" t="n">
        <x:f>(C29+E29/2)*INDEX(Sup_Credito!$B$8:$C$8,1,IF($B29="Moto para Todos",1,2))</x:f>
        <x:v>0</x:v>
      </x:c>
      <x:c r="H29" s="24" t="n">
        <x:v>0</x:v>
      </x:c>
      <x:c r="I29" s="16" t="n">
        <x:f>MAX(0,C29+E29-F29)</x:f>
        <x:v>0</x:v>
      </x:c>
      <x:c r="J29" s="16" t="n">
        <x:f>MAX(0,D29+F29-E29)</x:f>
        <x:v>0</x:v>
      </x:c>
      <x:c r="K29" t="str">
        <x:f>IF(SUM(Sup_Credito!$B$11:$C$12)=0,"NO DEFINITIVO: completar saldos y capital","PROYECCIÓN EDITABLE")</x:f>
        <x:v>NO DEFINITIVO: completar saldos y capital</x:v>
      </x:c>
    </x:row>
    <x:row r="30">
      <x:c r="A30" s="26" t="n">
        <x:v>46631</x:v>
      </x:c>
      <x:c r="B30" t="str">
        <x:v>Verificarte</x:v>
      </x:c>
      <x:c r="C30" s="16" t="n">
        <x:f>IF(COUNTIFS($B$5:B30,$B30)=1,INDEX(Sup_Credito!$B$11:$C$11,1,IF($B30="Moto para Todos",1,2)),I28)</x:f>
        <x:v>0</x:v>
      </x:c>
      <x:c r="D30" s="16" t="n">
        <x:f>IF(COUNTIFS($B$5:B30,$B30)=1,INDEX(Sup_Credito!$B$12:$C$12,1,IF($B30="Moto para Todos",1,2)),J28)</x:f>
        <x:v>0</x:v>
      </x:c>
      <x:c r="E30" s="16" t="n">
        <x:f>MIN(SUMIFS(Proy_Credito!$G:$G,Proy_Credito!$A:$A,$A30,Proy_Credito!$B:$B,$B30),D30+F30)</x:f>
        <x:v>0</x:v>
      </x:c>
      <x:c r="F30" s="16" t="n">
        <x:f>MIN(C30,C30*INDEX(Sup_Credito!$B$13:$C$13,1,IF($B30="Moto para Todos",1,2)))</x:f>
        <x:v>0</x:v>
      </x:c>
      <x:c r="G30" s="16" t="n">
        <x:f>(C30+E30/2)*INDEX(Sup_Credito!$B$8:$C$8,1,IF($B30="Moto para Todos",1,2))</x:f>
        <x:v>0</x:v>
      </x:c>
      <x:c r="H30" s="24" t="n">
        <x:v>0</x:v>
      </x:c>
      <x:c r="I30" s="16" t="n">
        <x:f>MAX(0,C30+E30-F30)</x:f>
        <x:v>0</x:v>
      </x:c>
      <x:c r="J30" s="16" t="n">
        <x:f>MAX(0,D30+F30-E30)</x:f>
        <x:v>0</x:v>
      </x:c>
      <x:c r="K30" t="str">
        <x:f>IF(SUM(Sup_Credito!$B$11:$C$12)=0,"NO DEFINITIVO: completar saldos y capital","PROYECCIÓN EDITABLE")</x:f>
        <x:v>NO DEFINITIVO: completar saldos y capital</x:v>
      </x:c>
    </x:row>
    <x:row r="31">
      <x:c r="A31" s="26" t="n">
        <x:v>46661</x:v>
      </x:c>
      <x:c r="B31" t="str">
        <x:v>Moto para Todos</x:v>
      </x:c>
      <x:c r="C31" s="16" t="n">
        <x:f>IF(COUNTIFS($B$5:B31,$B31)=1,INDEX(Sup_Credito!$B$11:$C$11,1,IF($B31="Moto para Todos",1,2)),I29)</x:f>
        <x:v>0</x:v>
      </x:c>
      <x:c r="D31" s="16" t="n">
        <x:f>IF(COUNTIFS($B$5:B31,$B31)=1,INDEX(Sup_Credito!$B$12:$C$12,1,IF($B31="Moto para Todos",1,2)),J29)</x:f>
        <x:v>0</x:v>
      </x:c>
      <x:c r="E31" s="16" t="n">
        <x:f>MIN(SUMIFS(Proy_Credito!$G:$G,Proy_Credito!$A:$A,$A31,Proy_Credito!$B:$B,$B31),D31+F31)</x:f>
        <x:v>0</x:v>
      </x:c>
      <x:c r="F31" s="16" t="n">
        <x:f>MIN(C31,C31*INDEX(Sup_Credito!$B$13:$C$13,1,IF($B31="Moto para Todos",1,2)))</x:f>
        <x:v>0</x:v>
      </x:c>
      <x:c r="G31" s="16" t="n">
        <x:f>(C31+E31/2)*INDEX(Sup_Credito!$B$8:$C$8,1,IF($B31="Moto para Todos",1,2))</x:f>
        <x:v>0</x:v>
      </x:c>
      <x:c r="H31" s="24" t="n">
        <x:v>0</x:v>
      </x:c>
      <x:c r="I31" s="16" t="n">
        <x:f>MAX(0,C31+E31-F31)</x:f>
        <x:v>0</x:v>
      </x:c>
      <x:c r="J31" s="16" t="n">
        <x:f>MAX(0,D31+F31-E31)</x:f>
        <x:v>0</x:v>
      </x:c>
      <x:c r="K31" t="str">
        <x:f>IF(SUM(Sup_Credito!$B$11:$C$12)=0,"NO DEFINITIVO: completar saldos y capital","PROYECCIÓN EDITABLE")</x:f>
        <x:v>NO DEFINITIVO: completar saldos y capital</x:v>
      </x:c>
    </x:row>
    <x:row r="32">
      <x:c r="A32" s="26" t="n">
        <x:v>46661</x:v>
      </x:c>
      <x:c r="B32" t="str">
        <x:v>Verificarte</x:v>
      </x:c>
      <x:c r="C32" s="16" t="n">
        <x:f>IF(COUNTIFS($B$5:B32,$B32)=1,INDEX(Sup_Credito!$B$11:$C$11,1,IF($B32="Moto para Todos",1,2)),I30)</x:f>
        <x:v>0</x:v>
      </x:c>
      <x:c r="D32" s="16" t="n">
        <x:f>IF(COUNTIFS($B$5:B32,$B32)=1,INDEX(Sup_Credito!$B$12:$C$12,1,IF($B32="Moto para Todos",1,2)),J30)</x:f>
        <x:v>0</x:v>
      </x:c>
      <x:c r="E32" s="16" t="n">
        <x:f>MIN(SUMIFS(Proy_Credito!$G:$G,Proy_Credito!$A:$A,$A32,Proy_Credito!$B:$B,$B32),D32+F32)</x:f>
        <x:v>0</x:v>
      </x:c>
      <x:c r="F32" s="16" t="n">
        <x:f>MIN(C32,C32*INDEX(Sup_Credito!$B$13:$C$13,1,IF($B32="Moto para Todos",1,2)))</x:f>
        <x:v>0</x:v>
      </x:c>
      <x:c r="G32" s="16" t="n">
        <x:f>(C32+E32/2)*INDEX(Sup_Credito!$B$8:$C$8,1,IF($B32="Moto para Todos",1,2))</x:f>
        <x:v>0</x:v>
      </x:c>
      <x:c r="H32" s="24" t="n">
        <x:v>0</x:v>
      </x:c>
      <x:c r="I32" s="16" t="n">
        <x:f>MAX(0,C32+E32-F32)</x:f>
        <x:v>0</x:v>
      </x:c>
      <x:c r="J32" s="16" t="n">
        <x:f>MAX(0,D32+F32-E32)</x:f>
        <x:v>0</x:v>
      </x:c>
      <x:c r="K32" t="str">
        <x:f>IF(SUM(Sup_Credito!$B$11:$C$12)=0,"NO DEFINITIVO: completar saldos y capital","PROYECCIÓN EDITABLE")</x:f>
        <x:v>NO DEFINITIVO: completar saldos y capital</x:v>
      </x:c>
    </x:row>
    <x:row r="33">
      <x:c r="A33" s="26" t="n">
        <x:v>46692</x:v>
      </x:c>
      <x:c r="B33" t="str">
        <x:v>Moto para Todos</x:v>
      </x:c>
      <x:c r="C33" s="16" t="n">
        <x:f>IF(COUNTIFS($B$5:B33,$B33)=1,INDEX(Sup_Credito!$B$11:$C$11,1,IF($B33="Moto para Todos",1,2)),I31)</x:f>
        <x:v>0</x:v>
      </x:c>
      <x:c r="D33" s="16" t="n">
        <x:f>IF(COUNTIFS($B$5:B33,$B33)=1,INDEX(Sup_Credito!$B$12:$C$12,1,IF($B33="Moto para Todos",1,2)),J31)</x:f>
        <x:v>0</x:v>
      </x:c>
      <x:c r="E33" s="16" t="n">
        <x:f>MIN(SUMIFS(Proy_Credito!$G:$G,Proy_Credito!$A:$A,$A33,Proy_Credito!$B:$B,$B33),D33+F33)</x:f>
        <x:v>0</x:v>
      </x:c>
      <x:c r="F33" s="16" t="n">
        <x:f>MIN(C33,C33*INDEX(Sup_Credito!$B$13:$C$13,1,IF($B33="Moto para Todos",1,2)))</x:f>
        <x:v>0</x:v>
      </x:c>
      <x:c r="G33" s="16" t="n">
        <x:f>(C33+E33/2)*INDEX(Sup_Credito!$B$8:$C$8,1,IF($B33="Moto para Todos",1,2))</x:f>
        <x:v>0</x:v>
      </x:c>
      <x:c r="H33" s="24" t="n">
        <x:v>0</x:v>
      </x:c>
      <x:c r="I33" s="16" t="n">
        <x:f>MAX(0,C33+E33-F33)</x:f>
        <x:v>0</x:v>
      </x:c>
      <x:c r="J33" s="16" t="n">
        <x:f>MAX(0,D33+F33-E33)</x:f>
        <x:v>0</x:v>
      </x:c>
      <x:c r="K33" t="str">
        <x:f>IF(SUM(Sup_Credito!$B$11:$C$12)=0,"NO DEFINITIVO: completar saldos y capital","PROYECCIÓN EDITABLE")</x:f>
        <x:v>NO DEFINITIVO: completar saldos y capital</x:v>
      </x:c>
    </x:row>
    <x:row r="34">
      <x:c r="A34" s="26" t="n">
        <x:v>46692</x:v>
      </x:c>
      <x:c r="B34" t="str">
        <x:v>Verificarte</x:v>
      </x:c>
      <x:c r="C34" s="16" t="n">
        <x:f>IF(COUNTIFS($B$5:B34,$B34)=1,INDEX(Sup_Credito!$B$11:$C$11,1,IF($B34="Moto para Todos",1,2)),I32)</x:f>
        <x:v>0</x:v>
      </x:c>
      <x:c r="D34" s="16" t="n">
        <x:f>IF(COUNTIFS($B$5:B34,$B34)=1,INDEX(Sup_Credito!$B$12:$C$12,1,IF($B34="Moto para Todos",1,2)),J32)</x:f>
        <x:v>0</x:v>
      </x:c>
      <x:c r="E34" s="16" t="n">
        <x:f>MIN(SUMIFS(Proy_Credito!$G:$G,Proy_Credito!$A:$A,$A34,Proy_Credito!$B:$B,$B34),D34+F34)</x:f>
        <x:v>0</x:v>
      </x:c>
      <x:c r="F34" s="16" t="n">
        <x:f>MIN(C34,C34*INDEX(Sup_Credito!$B$13:$C$13,1,IF($B34="Moto para Todos",1,2)))</x:f>
        <x:v>0</x:v>
      </x:c>
      <x:c r="G34" s="16" t="n">
        <x:f>(C34+E34/2)*INDEX(Sup_Credito!$B$8:$C$8,1,IF($B34="Moto para Todos",1,2))</x:f>
        <x:v>0</x:v>
      </x:c>
      <x:c r="H34" s="24" t="n">
        <x:v>0</x:v>
      </x:c>
      <x:c r="I34" s="16" t="n">
        <x:f>MAX(0,C34+E34-F34)</x:f>
        <x:v>0</x:v>
      </x:c>
      <x:c r="J34" s="16" t="n">
        <x:f>MAX(0,D34+F34-E34)</x:f>
        <x:v>0</x:v>
      </x:c>
      <x:c r="K34" t="str">
        <x:f>IF(SUM(Sup_Credito!$B$11:$C$12)=0,"NO DEFINITIVO: completar saldos y capital","PROYECCIÓN EDITABLE")</x:f>
        <x:v>NO DEFINITIVO: completar saldos y capital</x:v>
      </x:c>
    </x:row>
    <x:row r="35">
      <x:c r="A35" s="26" t="n">
        <x:v>46722</x:v>
      </x:c>
      <x:c r="B35" t="str">
        <x:v>Moto para Todos</x:v>
      </x:c>
      <x:c r="C35" s="16" t="n">
        <x:f>IF(COUNTIFS($B$5:B35,$B35)=1,INDEX(Sup_Credito!$B$11:$C$11,1,IF($B35="Moto para Todos",1,2)),I33)</x:f>
        <x:v>0</x:v>
      </x:c>
      <x:c r="D35" s="16" t="n">
        <x:f>IF(COUNTIFS($B$5:B35,$B35)=1,INDEX(Sup_Credito!$B$12:$C$12,1,IF($B35="Moto para Todos",1,2)),J33)</x:f>
        <x:v>0</x:v>
      </x:c>
      <x:c r="E35" s="16" t="n">
        <x:f>MIN(SUMIFS(Proy_Credito!$G:$G,Proy_Credito!$A:$A,$A35,Proy_Credito!$B:$B,$B35),D35+F35)</x:f>
        <x:v>0</x:v>
      </x:c>
      <x:c r="F35" s="16" t="n">
        <x:f>MIN(C35,C35*INDEX(Sup_Credito!$B$13:$C$13,1,IF($B35="Moto para Todos",1,2)))</x:f>
        <x:v>0</x:v>
      </x:c>
      <x:c r="G35" s="16" t="n">
        <x:f>(C35+E35/2)*INDEX(Sup_Credito!$B$8:$C$8,1,IF($B35="Moto para Todos",1,2))</x:f>
        <x:v>0</x:v>
      </x:c>
      <x:c r="H35" s="24" t="n">
        <x:v>0</x:v>
      </x:c>
      <x:c r="I35" s="16" t="n">
        <x:f>MAX(0,C35+E35-F35)</x:f>
        <x:v>0</x:v>
      </x:c>
      <x:c r="J35" s="16" t="n">
        <x:f>MAX(0,D35+F35-E35)</x:f>
        <x:v>0</x:v>
      </x:c>
      <x:c r="K35" t="str">
        <x:f>IF(SUM(Sup_Credito!$B$11:$C$12)=0,"NO DEFINITIVO: completar saldos y capital","PROYECCIÓN EDITABLE")</x:f>
        <x:v>NO DEFINITIVO: completar saldos y capital</x:v>
      </x:c>
    </x:row>
    <x:row r="36">
      <x:c r="A36" s="26" t="n">
        <x:v>46722</x:v>
      </x:c>
      <x:c r="B36" t="str">
        <x:v>Verificarte</x:v>
      </x:c>
      <x:c r="C36" s="16" t="n">
        <x:f>IF(COUNTIFS($B$5:B36,$B36)=1,INDEX(Sup_Credito!$B$11:$C$11,1,IF($B36="Moto para Todos",1,2)),I34)</x:f>
        <x:v>0</x:v>
      </x:c>
      <x:c r="D36" s="16" t="n">
        <x:f>IF(COUNTIFS($B$5:B36,$B36)=1,INDEX(Sup_Credito!$B$12:$C$12,1,IF($B36="Moto para Todos",1,2)),J34)</x:f>
        <x:v>0</x:v>
      </x:c>
      <x:c r="E36" s="16" t="n">
        <x:f>MIN(SUMIFS(Proy_Credito!$G:$G,Proy_Credito!$A:$A,$A36,Proy_Credito!$B:$B,$B36),D36+F36)</x:f>
        <x:v>0</x:v>
      </x:c>
      <x:c r="F36" s="16" t="n">
        <x:f>MIN(C36,C36*INDEX(Sup_Credito!$B$13:$C$13,1,IF($B36="Moto para Todos",1,2)))</x:f>
        <x:v>0</x:v>
      </x:c>
      <x:c r="G36" s="16" t="n">
        <x:f>(C36+E36/2)*INDEX(Sup_Credito!$B$8:$C$8,1,IF($B36="Moto para Todos",1,2))</x:f>
        <x:v>0</x:v>
      </x:c>
      <x:c r="H36" s="24" t="n">
        <x:v>0</x:v>
      </x:c>
      <x:c r="I36" s="16" t="n">
        <x:f>MAX(0,C36+E36-F36)</x:f>
        <x:v>0</x:v>
      </x:c>
      <x:c r="J36" s="16" t="n">
        <x:f>MAX(0,D36+F36-E36)</x:f>
        <x:v>0</x:v>
      </x:c>
      <x:c r="K36" t="str">
        <x:f>IF(SUM(Sup_Credito!$B$11:$C$12)=0,"NO DEFINITIVO: completar saldos y capital","PROYECCIÓN EDITABLE")</x:f>
        <x:v>NO DEFINITIVO: completar saldos y capital</x:v>
      </x:c>
    </x:row>
    <x:row r="37">
      <x:c r="A37" s="26" t="n">
        <x:v>46753</x:v>
      </x:c>
      <x:c r="B37" t="str">
        <x:v>Moto para Todos</x:v>
      </x:c>
      <x:c r="C37" s="16" t="n">
        <x:f>IF(COUNTIFS($B$5:B37,$B37)=1,INDEX(Sup_Credito!$B$11:$C$11,1,IF($B37="Moto para Todos",1,2)),I35)</x:f>
        <x:v>0</x:v>
      </x:c>
      <x:c r="D37" s="16" t="n">
        <x:f>IF(COUNTIFS($B$5:B37,$B37)=1,INDEX(Sup_Credito!$B$12:$C$12,1,IF($B37="Moto para Todos",1,2)),J35)</x:f>
        <x:v>0</x:v>
      </x:c>
      <x:c r="E37" s="16" t="n">
        <x:f>MIN(SUMIFS(Proy_Credito!$G:$G,Proy_Credito!$A:$A,$A37,Proy_Credito!$B:$B,$B37),D37+F37)</x:f>
        <x:v>0</x:v>
      </x:c>
      <x:c r="F37" s="16" t="n">
        <x:f>MIN(C37,C37*INDEX(Sup_Credito!$B$13:$C$13,1,IF($B37="Moto para Todos",1,2)))</x:f>
        <x:v>0</x:v>
      </x:c>
      <x:c r="G37" s="16" t="n">
        <x:f>(C37+E37/2)*INDEX(Sup_Credito!$B$8:$C$8,1,IF($B37="Moto para Todos",1,2))</x:f>
        <x:v>0</x:v>
      </x:c>
      <x:c r="H37" s="24" t="n">
        <x:v>0</x:v>
      </x:c>
      <x:c r="I37" s="16" t="n">
        <x:f>MAX(0,C37+E37-F37)</x:f>
        <x:v>0</x:v>
      </x:c>
      <x:c r="J37" s="16" t="n">
        <x:f>MAX(0,D37+F37-E37)</x:f>
        <x:v>0</x:v>
      </x:c>
      <x:c r="K37" t="str">
        <x:f>IF(SUM(Sup_Credito!$B$11:$C$12)=0,"NO DEFINITIVO: completar saldos y capital","PROYECCIÓN EDITABLE")</x:f>
        <x:v>NO DEFINITIVO: completar saldos y capital</x:v>
      </x:c>
    </x:row>
    <x:row r="38">
      <x:c r="A38" s="26" t="n">
        <x:v>46753</x:v>
      </x:c>
      <x:c r="B38" t="str">
        <x:v>Verificarte</x:v>
      </x:c>
      <x:c r="C38" s="16" t="n">
        <x:f>IF(COUNTIFS($B$5:B38,$B38)=1,INDEX(Sup_Credito!$B$11:$C$11,1,IF($B38="Moto para Todos",1,2)),I36)</x:f>
        <x:v>0</x:v>
      </x:c>
      <x:c r="D38" s="16" t="n">
        <x:f>IF(COUNTIFS($B$5:B38,$B38)=1,INDEX(Sup_Credito!$B$12:$C$12,1,IF($B38="Moto para Todos",1,2)),J36)</x:f>
        <x:v>0</x:v>
      </x:c>
      <x:c r="E38" s="16" t="n">
        <x:f>MIN(SUMIFS(Proy_Credito!$G:$G,Proy_Credito!$A:$A,$A38,Proy_Credito!$B:$B,$B38),D38+F38)</x:f>
        <x:v>0</x:v>
      </x:c>
      <x:c r="F38" s="16" t="n">
        <x:f>MIN(C38,C38*INDEX(Sup_Credito!$B$13:$C$13,1,IF($B38="Moto para Todos",1,2)))</x:f>
        <x:v>0</x:v>
      </x:c>
      <x:c r="G38" s="16" t="n">
        <x:f>(C38+E38/2)*INDEX(Sup_Credito!$B$8:$C$8,1,IF($B38="Moto para Todos",1,2))</x:f>
        <x:v>0</x:v>
      </x:c>
      <x:c r="H38" s="24" t="n">
        <x:v>0</x:v>
      </x:c>
      <x:c r="I38" s="16" t="n">
        <x:f>MAX(0,C38+E38-F38)</x:f>
        <x:v>0</x:v>
      </x:c>
      <x:c r="J38" s="16" t="n">
        <x:f>MAX(0,D38+F38-E38)</x:f>
        <x:v>0</x:v>
      </x:c>
      <x:c r="K38" t="str">
        <x:f>IF(SUM(Sup_Credito!$B$11:$C$12)=0,"NO DEFINITIVO: completar saldos y capital","PROYECCIÓN EDITABLE")</x:f>
        <x:v>NO DEFINITIVO: completar saldos y capital</x:v>
      </x:c>
    </x:row>
    <x:row r="39">
      <x:c r="A39" s="26" t="n">
        <x:v>46784</x:v>
      </x:c>
      <x:c r="B39" t="str">
        <x:v>Moto para Todos</x:v>
      </x:c>
      <x:c r="C39" s="16" t="n">
        <x:f>IF(COUNTIFS($B$5:B39,$B39)=1,INDEX(Sup_Credito!$B$11:$C$11,1,IF($B39="Moto para Todos",1,2)),I37)</x:f>
        <x:v>0</x:v>
      </x:c>
      <x:c r="D39" s="16" t="n">
        <x:f>IF(COUNTIFS($B$5:B39,$B39)=1,INDEX(Sup_Credito!$B$12:$C$12,1,IF($B39="Moto para Todos",1,2)),J37)</x:f>
        <x:v>0</x:v>
      </x:c>
      <x:c r="E39" s="16" t="n">
        <x:f>MIN(SUMIFS(Proy_Credito!$G:$G,Proy_Credito!$A:$A,$A39,Proy_Credito!$B:$B,$B39),D39+F39)</x:f>
        <x:v>0</x:v>
      </x:c>
      <x:c r="F39" s="16" t="n">
        <x:f>MIN(C39,C39*INDEX(Sup_Credito!$B$13:$C$13,1,IF($B39="Moto para Todos",1,2)))</x:f>
        <x:v>0</x:v>
      </x:c>
      <x:c r="G39" s="16" t="n">
        <x:f>(C39+E39/2)*INDEX(Sup_Credito!$B$8:$C$8,1,IF($B39="Moto para Todos",1,2))</x:f>
        <x:v>0</x:v>
      </x:c>
      <x:c r="H39" s="24" t="n">
        <x:v>0</x:v>
      </x:c>
      <x:c r="I39" s="16" t="n">
        <x:f>MAX(0,C39+E39-F39)</x:f>
        <x:v>0</x:v>
      </x:c>
      <x:c r="J39" s="16" t="n">
        <x:f>MAX(0,D39+F39-E39)</x:f>
        <x:v>0</x:v>
      </x:c>
      <x:c r="K39" t="str">
        <x:f>IF(SUM(Sup_Credito!$B$11:$C$12)=0,"NO DEFINITIVO: completar saldos y capital","PROYECCIÓN EDITABLE")</x:f>
        <x:v>NO DEFINITIVO: completar saldos y capital</x:v>
      </x:c>
    </x:row>
    <x:row r="40">
      <x:c r="A40" s="26" t="n">
        <x:v>46784</x:v>
      </x:c>
      <x:c r="B40" t="str">
        <x:v>Verificarte</x:v>
      </x:c>
      <x:c r="C40" s="16" t="n">
        <x:f>IF(COUNTIFS($B$5:B40,$B40)=1,INDEX(Sup_Credito!$B$11:$C$11,1,IF($B40="Moto para Todos",1,2)),I38)</x:f>
        <x:v>0</x:v>
      </x:c>
      <x:c r="D40" s="16" t="n">
        <x:f>IF(COUNTIFS($B$5:B40,$B40)=1,INDEX(Sup_Credito!$B$12:$C$12,1,IF($B40="Moto para Todos",1,2)),J38)</x:f>
        <x:v>0</x:v>
      </x:c>
      <x:c r="E40" s="16" t="n">
        <x:f>MIN(SUMIFS(Proy_Credito!$G:$G,Proy_Credito!$A:$A,$A40,Proy_Credito!$B:$B,$B40),D40+F40)</x:f>
        <x:v>0</x:v>
      </x:c>
      <x:c r="F40" s="16" t="n">
        <x:f>MIN(C40,C40*INDEX(Sup_Credito!$B$13:$C$13,1,IF($B40="Moto para Todos",1,2)))</x:f>
        <x:v>0</x:v>
      </x:c>
      <x:c r="G40" s="16" t="n">
        <x:f>(C40+E40/2)*INDEX(Sup_Credito!$B$8:$C$8,1,IF($B40="Moto para Todos",1,2))</x:f>
        <x:v>0</x:v>
      </x:c>
      <x:c r="H40" s="24" t="n">
        <x:v>0</x:v>
      </x:c>
      <x:c r="I40" s="16" t="n">
        <x:f>MAX(0,C40+E40-F40)</x:f>
        <x:v>0</x:v>
      </x:c>
      <x:c r="J40" s="16" t="n">
        <x:f>MAX(0,D40+F40-E40)</x:f>
        <x:v>0</x:v>
      </x:c>
      <x:c r="K40" t="str">
        <x:f>IF(SUM(Sup_Credito!$B$11:$C$12)=0,"NO DEFINITIVO: completar saldos y capital","PROYECCIÓN EDITABLE")</x:f>
        <x:v>NO DEFINITIVO: completar saldos y capital</x:v>
      </x:c>
    </x:row>
    <x:row r="41">
      <x:c r="A41" s="26" t="n">
        <x:v>46813</x:v>
      </x:c>
      <x:c r="B41" t="str">
        <x:v>Moto para Todos</x:v>
      </x:c>
      <x:c r="C41" s="16" t="n">
        <x:f>IF(COUNTIFS($B$5:B41,$B41)=1,INDEX(Sup_Credito!$B$11:$C$11,1,IF($B41="Moto para Todos",1,2)),I39)</x:f>
        <x:v>0</x:v>
      </x:c>
      <x:c r="D41" s="16" t="n">
        <x:f>IF(COUNTIFS($B$5:B41,$B41)=1,INDEX(Sup_Credito!$B$12:$C$12,1,IF($B41="Moto para Todos",1,2)),J39)</x:f>
        <x:v>0</x:v>
      </x:c>
      <x:c r="E41" s="16" t="n">
        <x:f>MIN(SUMIFS(Proy_Credito!$G:$G,Proy_Credito!$A:$A,$A41,Proy_Credito!$B:$B,$B41),D41+F41)</x:f>
        <x:v>0</x:v>
      </x:c>
      <x:c r="F41" s="16" t="n">
        <x:f>MIN(C41,C41*INDEX(Sup_Credito!$B$13:$C$13,1,IF($B41="Moto para Todos",1,2)))</x:f>
        <x:v>0</x:v>
      </x:c>
      <x:c r="G41" s="16" t="n">
        <x:f>(C41+E41/2)*INDEX(Sup_Credito!$B$8:$C$8,1,IF($B41="Moto para Todos",1,2))</x:f>
        <x:v>0</x:v>
      </x:c>
      <x:c r="H41" s="24" t="n">
        <x:v>0</x:v>
      </x:c>
      <x:c r="I41" s="16" t="n">
        <x:f>MAX(0,C41+E41-F41)</x:f>
        <x:v>0</x:v>
      </x:c>
      <x:c r="J41" s="16" t="n">
        <x:f>MAX(0,D41+F41-E41)</x:f>
        <x:v>0</x:v>
      </x:c>
      <x:c r="K41" t="str">
        <x:f>IF(SUM(Sup_Credito!$B$11:$C$12)=0,"NO DEFINITIVO: completar saldos y capital","PROYECCIÓN EDITABLE")</x:f>
        <x:v>NO DEFINITIVO: completar saldos y capital</x:v>
      </x:c>
    </x:row>
    <x:row r="42">
      <x:c r="A42" s="26" t="n">
        <x:v>46813</x:v>
      </x:c>
      <x:c r="B42" t="str">
        <x:v>Verificarte</x:v>
      </x:c>
      <x:c r="C42" s="16" t="n">
        <x:f>IF(COUNTIFS($B$5:B42,$B42)=1,INDEX(Sup_Credito!$B$11:$C$11,1,IF($B42="Moto para Todos",1,2)),I40)</x:f>
        <x:v>0</x:v>
      </x:c>
      <x:c r="D42" s="16" t="n">
        <x:f>IF(COUNTIFS($B$5:B42,$B42)=1,INDEX(Sup_Credito!$B$12:$C$12,1,IF($B42="Moto para Todos",1,2)),J40)</x:f>
        <x:v>0</x:v>
      </x:c>
      <x:c r="E42" s="16" t="n">
        <x:f>MIN(SUMIFS(Proy_Credito!$G:$G,Proy_Credito!$A:$A,$A42,Proy_Credito!$B:$B,$B42),D42+F42)</x:f>
        <x:v>0</x:v>
      </x:c>
      <x:c r="F42" s="16" t="n">
        <x:f>MIN(C42,C42*INDEX(Sup_Credito!$B$13:$C$13,1,IF($B42="Moto para Todos",1,2)))</x:f>
        <x:v>0</x:v>
      </x:c>
      <x:c r="G42" s="16" t="n">
        <x:f>(C42+E42/2)*INDEX(Sup_Credito!$B$8:$C$8,1,IF($B42="Moto para Todos",1,2))</x:f>
        <x:v>0</x:v>
      </x:c>
      <x:c r="H42" s="24" t="n">
        <x:v>0</x:v>
      </x:c>
      <x:c r="I42" s="16" t="n">
        <x:f>MAX(0,C42+E42-F42)</x:f>
        <x:v>0</x:v>
      </x:c>
      <x:c r="J42" s="16" t="n">
        <x:f>MAX(0,D42+F42-E42)</x:f>
        <x:v>0</x:v>
      </x:c>
      <x:c r="K42" t="str">
        <x:f>IF(SUM(Sup_Credito!$B$11:$C$12)=0,"NO DEFINITIVO: completar saldos y capital","PROYECCIÓN EDITABLE")</x:f>
        <x:v>NO DEFINITIVO: completar saldos y capital</x:v>
      </x:c>
    </x:row>
    <x:row r="43">
      <x:c r="A43" s="26" t="n">
        <x:v>46844</x:v>
      </x:c>
      <x:c r="B43" t="str">
        <x:v>Moto para Todos</x:v>
      </x:c>
      <x:c r="C43" s="16" t="n">
        <x:f>IF(COUNTIFS($B$5:B43,$B43)=1,INDEX(Sup_Credito!$B$11:$C$11,1,IF($B43="Moto para Todos",1,2)),I41)</x:f>
        <x:v>0</x:v>
      </x:c>
      <x:c r="D43" s="16" t="n">
        <x:f>IF(COUNTIFS($B$5:B43,$B43)=1,INDEX(Sup_Credito!$B$12:$C$12,1,IF($B43="Moto para Todos",1,2)),J41)</x:f>
        <x:v>0</x:v>
      </x:c>
      <x:c r="E43" s="16" t="n">
        <x:f>MIN(SUMIFS(Proy_Credito!$G:$G,Proy_Credito!$A:$A,$A43,Proy_Credito!$B:$B,$B43),D43+F43)</x:f>
        <x:v>0</x:v>
      </x:c>
      <x:c r="F43" s="16" t="n">
        <x:f>MIN(C43,C43*INDEX(Sup_Credito!$B$13:$C$13,1,IF($B43="Moto para Todos",1,2)))</x:f>
        <x:v>0</x:v>
      </x:c>
      <x:c r="G43" s="16" t="n">
        <x:f>(C43+E43/2)*INDEX(Sup_Credito!$B$8:$C$8,1,IF($B43="Moto para Todos",1,2))</x:f>
        <x:v>0</x:v>
      </x:c>
      <x:c r="H43" s="24" t="n">
        <x:v>0</x:v>
      </x:c>
      <x:c r="I43" s="16" t="n">
        <x:f>MAX(0,C43+E43-F43)</x:f>
        <x:v>0</x:v>
      </x:c>
      <x:c r="J43" s="16" t="n">
        <x:f>MAX(0,D43+F43-E43)</x:f>
        <x:v>0</x:v>
      </x:c>
      <x:c r="K43" t="str">
        <x:f>IF(SUM(Sup_Credito!$B$11:$C$12)=0,"NO DEFINITIVO: completar saldos y capital","PROYECCIÓN EDITABLE")</x:f>
        <x:v>NO DEFINITIVO: completar saldos y capital</x:v>
      </x:c>
    </x:row>
    <x:row r="44">
      <x:c r="A44" s="26" t="n">
        <x:v>46844</x:v>
      </x:c>
      <x:c r="B44" t="str">
        <x:v>Verificarte</x:v>
      </x:c>
      <x:c r="C44" s="16" t="n">
        <x:f>IF(COUNTIFS($B$5:B44,$B44)=1,INDEX(Sup_Credito!$B$11:$C$11,1,IF($B44="Moto para Todos",1,2)),I42)</x:f>
        <x:v>0</x:v>
      </x:c>
      <x:c r="D44" s="16" t="n">
        <x:f>IF(COUNTIFS($B$5:B44,$B44)=1,INDEX(Sup_Credito!$B$12:$C$12,1,IF($B44="Moto para Todos",1,2)),J42)</x:f>
        <x:v>0</x:v>
      </x:c>
      <x:c r="E44" s="16" t="n">
        <x:f>MIN(SUMIFS(Proy_Credito!$G:$G,Proy_Credito!$A:$A,$A44,Proy_Credito!$B:$B,$B44),D44+F44)</x:f>
        <x:v>0</x:v>
      </x:c>
      <x:c r="F44" s="16" t="n">
        <x:f>MIN(C44,C44*INDEX(Sup_Credito!$B$13:$C$13,1,IF($B44="Moto para Todos",1,2)))</x:f>
        <x:v>0</x:v>
      </x:c>
      <x:c r="G44" s="16" t="n">
        <x:f>(C44+E44/2)*INDEX(Sup_Credito!$B$8:$C$8,1,IF($B44="Moto para Todos",1,2))</x:f>
        <x:v>0</x:v>
      </x:c>
      <x:c r="H44" s="24" t="n">
        <x:v>0</x:v>
      </x:c>
      <x:c r="I44" s="16" t="n">
        <x:f>MAX(0,C44+E44-F44)</x:f>
        <x:v>0</x:v>
      </x:c>
      <x:c r="J44" s="16" t="n">
        <x:f>MAX(0,D44+F44-E44)</x:f>
        <x:v>0</x:v>
      </x:c>
      <x:c r="K44" t="str">
        <x:f>IF(SUM(Sup_Credito!$B$11:$C$12)=0,"NO DEFINITIVO: completar saldos y capital","PROYECCIÓN EDITABLE")</x:f>
        <x:v>NO DEFINITIVO: completar saldos y capital</x:v>
      </x:c>
    </x:row>
    <x:row r="45">
      <x:c r="A45" s="26" t="n">
        <x:v>46874</x:v>
      </x:c>
      <x:c r="B45" t="str">
        <x:v>Moto para Todos</x:v>
      </x:c>
      <x:c r="C45" s="16" t="n">
        <x:f>IF(COUNTIFS($B$5:B45,$B45)=1,INDEX(Sup_Credito!$B$11:$C$11,1,IF($B45="Moto para Todos",1,2)),I43)</x:f>
        <x:v>0</x:v>
      </x:c>
      <x:c r="D45" s="16" t="n">
        <x:f>IF(COUNTIFS($B$5:B45,$B45)=1,INDEX(Sup_Credito!$B$12:$C$12,1,IF($B45="Moto para Todos",1,2)),J43)</x:f>
        <x:v>0</x:v>
      </x:c>
      <x:c r="E45" s="16" t="n">
        <x:f>MIN(SUMIFS(Proy_Credito!$G:$G,Proy_Credito!$A:$A,$A45,Proy_Credito!$B:$B,$B45),D45+F45)</x:f>
        <x:v>0</x:v>
      </x:c>
      <x:c r="F45" s="16" t="n">
        <x:f>MIN(C45,C45*INDEX(Sup_Credito!$B$13:$C$13,1,IF($B45="Moto para Todos",1,2)))</x:f>
        <x:v>0</x:v>
      </x:c>
      <x:c r="G45" s="16" t="n">
        <x:f>(C45+E45/2)*INDEX(Sup_Credito!$B$8:$C$8,1,IF($B45="Moto para Todos",1,2))</x:f>
        <x:v>0</x:v>
      </x:c>
      <x:c r="H45" s="24" t="n">
        <x:v>0</x:v>
      </x:c>
      <x:c r="I45" s="16" t="n">
        <x:f>MAX(0,C45+E45-F45)</x:f>
        <x:v>0</x:v>
      </x:c>
      <x:c r="J45" s="16" t="n">
        <x:f>MAX(0,D45+F45-E45)</x:f>
        <x:v>0</x:v>
      </x:c>
      <x:c r="K45" t="str">
        <x:f>IF(SUM(Sup_Credito!$B$11:$C$12)=0,"NO DEFINITIVO: completar saldos y capital","PROYECCIÓN EDITABLE")</x:f>
        <x:v>NO DEFINITIVO: completar saldos y capital</x:v>
      </x:c>
    </x:row>
    <x:row r="46">
      <x:c r="A46" s="26" t="n">
        <x:v>46874</x:v>
      </x:c>
      <x:c r="B46" t="str">
        <x:v>Verificarte</x:v>
      </x:c>
      <x:c r="C46" s="16" t="n">
        <x:f>IF(COUNTIFS($B$5:B46,$B46)=1,INDEX(Sup_Credito!$B$11:$C$11,1,IF($B46="Moto para Todos",1,2)),I44)</x:f>
        <x:v>0</x:v>
      </x:c>
      <x:c r="D46" s="16" t="n">
        <x:f>IF(COUNTIFS($B$5:B46,$B46)=1,INDEX(Sup_Credito!$B$12:$C$12,1,IF($B46="Moto para Todos",1,2)),J44)</x:f>
        <x:v>0</x:v>
      </x:c>
      <x:c r="E46" s="16" t="n">
        <x:f>MIN(SUMIFS(Proy_Credito!$G:$G,Proy_Credito!$A:$A,$A46,Proy_Credito!$B:$B,$B46),D46+F46)</x:f>
        <x:v>0</x:v>
      </x:c>
      <x:c r="F46" s="16" t="n">
        <x:f>MIN(C46,C46*INDEX(Sup_Credito!$B$13:$C$13,1,IF($B46="Moto para Todos",1,2)))</x:f>
        <x:v>0</x:v>
      </x:c>
      <x:c r="G46" s="16" t="n">
        <x:f>(C46+E46/2)*INDEX(Sup_Credito!$B$8:$C$8,1,IF($B46="Moto para Todos",1,2))</x:f>
        <x:v>0</x:v>
      </x:c>
      <x:c r="H46" s="24" t="n">
        <x:v>0</x:v>
      </x:c>
      <x:c r="I46" s="16" t="n">
        <x:f>MAX(0,C46+E46-F46)</x:f>
        <x:v>0</x:v>
      </x:c>
      <x:c r="J46" s="16" t="n">
        <x:f>MAX(0,D46+F46-E46)</x:f>
        <x:v>0</x:v>
      </x:c>
      <x:c r="K46" t="str">
        <x:f>IF(SUM(Sup_Credito!$B$11:$C$12)=0,"NO DEFINITIVO: completar saldos y capital","PROYECCIÓN EDITABLE")</x:f>
        <x:v>NO DEFINITIVO: completar saldos y capital</x:v>
      </x:c>
    </x:row>
    <x:row r="47">
      <x:c r="A47" s="26" t="n">
        <x:v>46905</x:v>
      </x:c>
      <x:c r="B47" t="str">
        <x:v>Moto para Todos</x:v>
      </x:c>
      <x:c r="C47" s="16" t="n">
        <x:f>IF(COUNTIFS($B$5:B47,$B47)=1,INDEX(Sup_Credito!$B$11:$C$11,1,IF($B47="Moto para Todos",1,2)),I45)</x:f>
        <x:v>0</x:v>
      </x:c>
      <x:c r="D47" s="16" t="n">
        <x:f>IF(COUNTIFS($B$5:B47,$B47)=1,INDEX(Sup_Credito!$B$12:$C$12,1,IF($B47="Moto para Todos",1,2)),J45)</x:f>
        <x:v>0</x:v>
      </x:c>
      <x:c r="E47" s="16" t="n">
        <x:f>MIN(SUMIFS(Proy_Credito!$G:$G,Proy_Credito!$A:$A,$A47,Proy_Credito!$B:$B,$B47),D47+F47)</x:f>
        <x:v>0</x:v>
      </x:c>
      <x:c r="F47" s="16" t="n">
        <x:f>MIN(C47,C47*INDEX(Sup_Credito!$B$13:$C$13,1,IF($B47="Moto para Todos",1,2)))</x:f>
        <x:v>0</x:v>
      </x:c>
      <x:c r="G47" s="16" t="n">
        <x:f>(C47+E47/2)*INDEX(Sup_Credito!$B$8:$C$8,1,IF($B47="Moto para Todos",1,2))</x:f>
        <x:v>0</x:v>
      </x:c>
      <x:c r="H47" s="24" t="n">
        <x:v>0</x:v>
      </x:c>
      <x:c r="I47" s="16" t="n">
        <x:f>MAX(0,C47+E47-F47)</x:f>
        <x:v>0</x:v>
      </x:c>
      <x:c r="J47" s="16" t="n">
        <x:f>MAX(0,D47+F47-E47)</x:f>
        <x:v>0</x:v>
      </x:c>
      <x:c r="K47" t="str">
        <x:f>IF(SUM(Sup_Credito!$B$11:$C$12)=0,"NO DEFINITIVO: completar saldos y capital","PROYECCIÓN EDITABLE")</x:f>
        <x:v>NO DEFINITIVO: completar saldos y capital</x:v>
      </x:c>
    </x:row>
    <x:row r="48">
      <x:c r="A48" s="26" t="n">
        <x:v>46905</x:v>
      </x:c>
      <x:c r="B48" t="str">
        <x:v>Verificarte</x:v>
      </x:c>
      <x:c r="C48" s="16" t="n">
        <x:f>IF(COUNTIFS($B$5:B48,$B48)=1,INDEX(Sup_Credito!$B$11:$C$11,1,IF($B48="Moto para Todos",1,2)),I46)</x:f>
        <x:v>0</x:v>
      </x:c>
      <x:c r="D48" s="16" t="n">
        <x:f>IF(COUNTIFS($B$5:B48,$B48)=1,INDEX(Sup_Credito!$B$12:$C$12,1,IF($B48="Moto para Todos",1,2)),J46)</x:f>
        <x:v>0</x:v>
      </x:c>
      <x:c r="E48" s="16" t="n">
        <x:f>MIN(SUMIFS(Proy_Credito!$G:$G,Proy_Credito!$A:$A,$A48,Proy_Credito!$B:$B,$B48),D48+F48)</x:f>
        <x:v>0</x:v>
      </x:c>
      <x:c r="F48" s="16" t="n">
        <x:f>MIN(C48,C48*INDEX(Sup_Credito!$B$13:$C$13,1,IF($B48="Moto para Todos",1,2)))</x:f>
        <x:v>0</x:v>
      </x:c>
      <x:c r="G48" s="16" t="n">
        <x:f>(C48+E48/2)*INDEX(Sup_Credito!$B$8:$C$8,1,IF($B48="Moto para Todos",1,2))</x:f>
        <x:v>0</x:v>
      </x:c>
      <x:c r="H48" s="24" t="n">
        <x:v>0</x:v>
      </x:c>
      <x:c r="I48" s="16" t="n">
        <x:f>MAX(0,C48+E48-F48)</x:f>
        <x:v>0</x:v>
      </x:c>
      <x:c r="J48" s="16" t="n">
        <x:f>MAX(0,D48+F48-E48)</x:f>
        <x:v>0</x:v>
      </x:c>
      <x:c r="K48" t="str">
        <x:f>IF(SUM(Sup_Credito!$B$11:$C$12)=0,"NO DEFINITIVO: completar saldos y capital","PROYECCIÓN EDITABLE")</x:f>
        <x:v>NO DEFINITIVO: completar saldos y capital</x:v>
      </x:c>
    </x:row>
    <x:row r="49">
      <x:c r="A49" s="26" t="n">
        <x:v>46935</x:v>
      </x:c>
      <x:c r="B49" t="str">
        <x:v>Moto para Todos</x:v>
      </x:c>
      <x:c r="C49" s="16" t="n">
        <x:f>IF(COUNTIFS($B$5:B49,$B49)=1,INDEX(Sup_Credito!$B$11:$C$11,1,IF($B49="Moto para Todos",1,2)),I47)</x:f>
        <x:v>0</x:v>
      </x:c>
      <x:c r="D49" s="16" t="n">
        <x:f>IF(COUNTIFS($B$5:B49,$B49)=1,INDEX(Sup_Credito!$B$12:$C$12,1,IF($B49="Moto para Todos",1,2)),J47)</x:f>
        <x:v>0</x:v>
      </x:c>
      <x:c r="E49" s="16" t="n">
        <x:f>MIN(SUMIFS(Proy_Credito!$G:$G,Proy_Credito!$A:$A,$A49,Proy_Credito!$B:$B,$B49),D49+F49)</x:f>
        <x:v>0</x:v>
      </x:c>
      <x:c r="F49" s="16" t="n">
        <x:f>MIN(C49,C49*INDEX(Sup_Credito!$B$13:$C$13,1,IF($B49="Moto para Todos",1,2)))</x:f>
        <x:v>0</x:v>
      </x:c>
      <x:c r="G49" s="16" t="n">
        <x:f>(C49+E49/2)*INDEX(Sup_Credito!$B$8:$C$8,1,IF($B49="Moto para Todos",1,2))</x:f>
        <x:v>0</x:v>
      </x:c>
      <x:c r="H49" s="24" t="n">
        <x:v>0</x:v>
      </x:c>
      <x:c r="I49" s="16" t="n">
        <x:f>MAX(0,C49+E49-F49)</x:f>
        <x:v>0</x:v>
      </x:c>
      <x:c r="J49" s="16" t="n">
        <x:f>MAX(0,D49+F49-E49)</x:f>
        <x:v>0</x:v>
      </x:c>
      <x:c r="K49" t="str">
        <x:f>IF(SUM(Sup_Credito!$B$11:$C$12)=0,"NO DEFINITIVO: completar saldos y capital","PROYECCIÓN EDITABLE")</x:f>
        <x:v>NO DEFINITIVO: completar saldos y capital</x:v>
      </x:c>
    </x:row>
    <x:row r="50">
      <x:c r="A50" s="26" t="n">
        <x:v>46935</x:v>
      </x:c>
      <x:c r="B50" t="str">
        <x:v>Verificarte</x:v>
      </x:c>
      <x:c r="C50" s="16" t="n">
        <x:f>IF(COUNTIFS($B$5:B50,$B50)=1,INDEX(Sup_Credito!$B$11:$C$11,1,IF($B50="Moto para Todos",1,2)),I48)</x:f>
        <x:v>0</x:v>
      </x:c>
      <x:c r="D50" s="16" t="n">
        <x:f>IF(COUNTIFS($B$5:B50,$B50)=1,INDEX(Sup_Credito!$B$12:$C$12,1,IF($B50="Moto para Todos",1,2)),J48)</x:f>
        <x:v>0</x:v>
      </x:c>
      <x:c r="E50" s="16" t="n">
        <x:f>MIN(SUMIFS(Proy_Credito!$G:$G,Proy_Credito!$A:$A,$A50,Proy_Credito!$B:$B,$B50),D50+F50)</x:f>
        <x:v>0</x:v>
      </x:c>
      <x:c r="F50" s="16" t="n">
        <x:f>MIN(C50,C50*INDEX(Sup_Credito!$B$13:$C$13,1,IF($B50="Moto para Todos",1,2)))</x:f>
        <x:v>0</x:v>
      </x:c>
      <x:c r="G50" s="16" t="n">
        <x:f>(C50+E50/2)*INDEX(Sup_Credito!$B$8:$C$8,1,IF($B50="Moto para Todos",1,2))</x:f>
        <x:v>0</x:v>
      </x:c>
      <x:c r="H50" s="24" t="n">
        <x:v>0</x:v>
      </x:c>
      <x:c r="I50" s="16" t="n">
        <x:f>MAX(0,C50+E50-F50)</x:f>
        <x:v>0</x:v>
      </x:c>
      <x:c r="J50" s="16" t="n">
        <x:f>MAX(0,D50+F50-E50)</x:f>
        <x:v>0</x:v>
      </x:c>
      <x:c r="K50" t="str">
        <x:f>IF(SUM(Sup_Credito!$B$11:$C$12)=0,"NO DEFINITIVO: completar saldos y capital","PROYECCIÓN EDITABLE")</x:f>
        <x:v>NO DEFINITIVO: completar saldos y capital</x:v>
      </x:c>
    </x:row>
    <x:row r="51">
      <x:c r="A51" s="26" t="n">
        <x:v>46966</x:v>
      </x:c>
      <x:c r="B51" t="str">
        <x:v>Moto para Todos</x:v>
      </x:c>
      <x:c r="C51" s="16" t="n">
        <x:f>IF(COUNTIFS($B$5:B51,$B51)=1,INDEX(Sup_Credito!$B$11:$C$11,1,IF($B51="Moto para Todos",1,2)),I49)</x:f>
        <x:v>0</x:v>
      </x:c>
      <x:c r="D51" s="16" t="n">
        <x:f>IF(COUNTIFS($B$5:B51,$B51)=1,INDEX(Sup_Credito!$B$12:$C$12,1,IF($B51="Moto para Todos",1,2)),J49)</x:f>
        <x:v>0</x:v>
      </x:c>
      <x:c r="E51" s="16" t="n">
        <x:f>MIN(SUMIFS(Proy_Credito!$G:$G,Proy_Credito!$A:$A,$A51,Proy_Credito!$B:$B,$B51),D51+F51)</x:f>
        <x:v>0</x:v>
      </x:c>
      <x:c r="F51" s="16" t="n">
        <x:f>MIN(C51,C51*INDEX(Sup_Credito!$B$13:$C$13,1,IF($B51="Moto para Todos",1,2)))</x:f>
        <x:v>0</x:v>
      </x:c>
      <x:c r="G51" s="16" t="n">
        <x:f>(C51+E51/2)*INDEX(Sup_Credito!$B$8:$C$8,1,IF($B51="Moto para Todos",1,2))</x:f>
        <x:v>0</x:v>
      </x:c>
      <x:c r="H51" s="24" t="n">
        <x:v>0</x:v>
      </x:c>
      <x:c r="I51" s="16" t="n">
        <x:f>MAX(0,C51+E51-F51)</x:f>
        <x:v>0</x:v>
      </x:c>
      <x:c r="J51" s="16" t="n">
        <x:f>MAX(0,D51+F51-E51)</x:f>
        <x:v>0</x:v>
      </x:c>
      <x:c r="K51" t="str">
        <x:f>IF(SUM(Sup_Credito!$B$11:$C$12)=0,"NO DEFINITIVO: completar saldos y capital","PROYECCIÓN EDITABLE")</x:f>
        <x:v>NO DEFINITIVO: completar saldos y capital</x:v>
      </x:c>
    </x:row>
    <x:row r="52">
      <x:c r="A52" s="26" t="n">
        <x:v>46966</x:v>
      </x:c>
      <x:c r="B52" t="str">
        <x:v>Verificarte</x:v>
      </x:c>
      <x:c r="C52" s="16" t="n">
        <x:f>IF(COUNTIFS($B$5:B52,$B52)=1,INDEX(Sup_Credito!$B$11:$C$11,1,IF($B52="Moto para Todos",1,2)),I50)</x:f>
        <x:v>0</x:v>
      </x:c>
      <x:c r="D52" s="16" t="n">
        <x:f>IF(COUNTIFS($B$5:B52,$B52)=1,INDEX(Sup_Credito!$B$12:$C$12,1,IF($B52="Moto para Todos",1,2)),J50)</x:f>
        <x:v>0</x:v>
      </x:c>
      <x:c r="E52" s="16" t="n">
        <x:f>MIN(SUMIFS(Proy_Credito!$G:$G,Proy_Credito!$A:$A,$A52,Proy_Credito!$B:$B,$B52),D52+F52)</x:f>
        <x:v>0</x:v>
      </x:c>
      <x:c r="F52" s="16" t="n">
        <x:f>MIN(C52,C52*INDEX(Sup_Credito!$B$13:$C$13,1,IF($B52="Moto para Todos",1,2)))</x:f>
        <x:v>0</x:v>
      </x:c>
      <x:c r="G52" s="16" t="n">
        <x:f>(C52+E52/2)*INDEX(Sup_Credito!$B$8:$C$8,1,IF($B52="Moto para Todos",1,2))</x:f>
        <x:v>0</x:v>
      </x:c>
      <x:c r="H52" s="24" t="n">
        <x:v>0</x:v>
      </x:c>
      <x:c r="I52" s="16" t="n">
        <x:f>MAX(0,C52+E52-F52)</x:f>
        <x:v>0</x:v>
      </x:c>
      <x:c r="J52" s="16" t="n">
        <x:f>MAX(0,D52+F52-E52)</x:f>
        <x:v>0</x:v>
      </x:c>
      <x:c r="K52" t="str">
        <x:f>IF(SUM(Sup_Credito!$B$11:$C$12)=0,"NO DEFINITIVO: completar saldos y capital","PROYECCIÓN EDITABLE")</x:f>
        <x:v>NO DEFINITIVO: completar saldos y capital</x:v>
      </x:c>
    </x:row>
    <x:row r="53">
      <x:c r="A53" s="26" t="n">
        <x:v>46997</x:v>
      </x:c>
      <x:c r="B53" t="str">
        <x:v>Moto para Todos</x:v>
      </x:c>
      <x:c r="C53" s="16" t="n">
        <x:f>IF(COUNTIFS($B$5:B53,$B53)=1,INDEX(Sup_Credito!$B$11:$C$11,1,IF($B53="Moto para Todos",1,2)),I51)</x:f>
        <x:v>0</x:v>
      </x:c>
      <x:c r="D53" s="16" t="n">
        <x:f>IF(COUNTIFS($B$5:B53,$B53)=1,INDEX(Sup_Credito!$B$12:$C$12,1,IF($B53="Moto para Todos",1,2)),J51)</x:f>
        <x:v>0</x:v>
      </x:c>
      <x:c r="E53" s="16" t="n">
        <x:f>MIN(SUMIFS(Proy_Credito!$G:$G,Proy_Credito!$A:$A,$A53,Proy_Credito!$B:$B,$B53),D53+F53)</x:f>
        <x:v>0</x:v>
      </x:c>
      <x:c r="F53" s="16" t="n">
        <x:f>MIN(C53,C53*INDEX(Sup_Credito!$B$13:$C$13,1,IF($B53="Moto para Todos",1,2)))</x:f>
        <x:v>0</x:v>
      </x:c>
      <x:c r="G53" s="16" t="n">
        <x:f>(C53+E53/2)*INDEX(Sup_Credito!$B$8:$C$8,1,IF($B53="Moto para Todos",1,2))</x:f>
        <x:v>0</x:v>
      </x:c>
      <x:c r="H53" s="24" t="n">
        <x:v>0</x:v>
      </x:c>
      <x:c r="I53" s="16" t="n">
        <x:f>MAX(0,C53+E53-F53)</x:f>
        <x:v>0</x:v>
      </x:c>
      <x:c r="J53" s="16" t="n">
        <x:f>MAX(0,D53+F53-E53)</x:f>
        <x:v>0</x:v>
      </x:c>
      <x:c r="K53" t="str">
        <x:f>IF(SUM(Sup_Credito!$B$11:$C$12)=0,"NO DEFINITIVO: completar saldos y capital","PROYECCIÓN EDITABLE")</x:f>
        <x:v>NO DEFINITIVO: completar saldos y capital</x:v>
      </x:c>
    </x:row>
    <x:row r="54">
      <x:c r="A54" s="26" t="n">
        <x:v>46997</x:v>
      </x:c>
      <x:c r="B54" t="str">
        <x:v>Verificarte</x:v>
      </x:c>
      <x:c r="C54" s="16" t="n">
        <x:f>IF(COUNTIFS($B$5:B54,$B54)=1,INDEX(Sup_Credito!$B$11:$C$11,1,IF($B54="Moto para Todos",1,2)),I52)</x:f>
        <x:v>0</x:v>
      </x:c>
      <x:c r="D54" s="16" t="n">
        <x:f>IF(COUNTIFS($B$5:B54,$B54)=1,INDEX(Sup_Credito!$B$12:$C$12,1,IF($B54="Moto para Todos",1,2)),J52)</x:f>
        <x:v>0</x:v>
      </x:c>
      <x:c r="E54" s="16" t="n">
        <x:f>MIN(SUMIFS(Proy_Credito!$G:$G,Proy_Credito!$A:$A,$A54,Proy_Credito!$B:$B,$B54),D54+F54)</x:f>
        <x:v>0</x:v>
      </x:c>
      <x:c r="F54" s="16" t="n">
        <x:f>MIN(C54,C54*INDEX(Sup_Credito!$B$13:$C$13,1,IF($B54="Moto para Todos",1,2)))</x:f>
        <x:v>0</x:v>
      </x:c>
      <x:c r="G54" s="16" t="n">
        <x:f>(C54+E54/2)*INDEX(Sup_Credito!$B$8:$C$8,1,IF($B54="Moto para Todos",1,2))</x:f>
        <x:v>0</x:v>
      </x:c>
      <x:c r="H54" s="24" t="n">
        <x:v>0</x:v>
      </x:c>
      <x:c r="I54" s="16" t="n">
        <x:f>MAX(0,C54+E54-F54)</x:f>
        <x:v>0</x:v>
      </x:c>
      <x:c r="J54" s="16" t="n">
        <x:f>MAX(0,D54+F54-E54)</x:f>
        <x:v>0</x:v>
      </x:c>
      <x:c r="K54" t="str">
        <x:f>IF(SUM(Sup_Credito!$B$11:$C$12)=0,"NO DEFINITIVO: completar saldos y capital","PROYECCIÓN EDITABLE")</x:f>
        <x:v>NO DEFINITIVO: completar saldos y capital</x:v>
      </x:c>
    </x:row>
    <x:row r="55">
      <x:c r="A55" s="26" t="n">
        <x:v>47027</x:v>
      </x:c>
      <x:c r="B55" t="str">
        <x:v>Moto para Todos</x:v>
      </x:c>
      <x:c r="C55" s="16" t="n">
        <x:f>IF(COUNTIFS($B$5:B55,$B55)=1,INDEX(Sup_Credito!$B$11:$C$11,1,IF($B55="Moto para Todos",1,2)),I53)</x:f>
        <x:v>0</x:v>
      </x:c>
      <x:c r="D55" s="16" t="n">
        <x:f>IF(COUNTIFS($B$5:B55,$B55)=1,INDEX(Sup_Credito!$B$12:$C$12,1,IF($B55="Moto para Todos",1,2)),J53)</x:f>
        <x:v>0</x:v>
      </x:c>
      <x:c r="E55" s="16" t="n">
        <x:f>MIN(SUMIFS(Proy_Credito!$G:$G,Proy_Credito!$A:$A,$A55,Proy_Credito!$B:$B,$B55),D55+F55)</x:f>
        <x:v>0</x:v>
      </x:c>
      <x:c r="F55" s="16" t="n">
        <x:f>MIN(C55,C55*INDEX(Sup_Credito!$B$13:$C$13,1,IF($B55="Moto para Todos",1,2)))</x:f>
        <x:v>0</x:v>
      </x:c>
      <x:c r="G55" s="16" t="n">
        <x:f>(C55+E55/2)*INDEX(Sup_Credito!$B$8:$C$8,1,IF($B55="Moto para Todos",1,2))</x:f>
        <x:v>0</x:v>
      </x:c>
      <x:c r="H55" s="24" t="n">
        <x:v>0</x:v>
      </x:c>
      <x:c r="I55" s="16" t="n">
        <x:f>MAX(0,C55+E55-F55)</x:f>
        <x:v>0</x:v>
      </x:c>
      <x:c r="J55" s="16" t="n">
        <x:f>MAX(0,D55+F55-E55)</x:f>
        <x:v>0</x:v>
      </x:c>
      <x:c r="K55" t="str">
        <x:f>IF(SUM(Sup_Credito!$B$11:$C$12)=0,"NO DEFINITIVO: completar saldos y capital","PROYECCIÓN EDITABLE")</x:f>
        <x:v>NO DEFINITIVO: completar saldos y capital</x:v>
      </x:c>
    </x:row>
    <x:row r="56">
      <x:c r="A56" s="26" t="n">
        <x:v>47027</x:v>
      </x:c>
      <x:c r="B56" t="str">
        <x:v>Verificarte</x:v>
      </x:c>
      <x:c r="C56" s="16" t="n">
        <x:f>IF(COUNTIFS($B$5:B56,$B56)=1,INDEX(Sup_Credito!$B$11:$C$11,1,IF($B56="Moto para Todos",1,2)),I54)</x:f>
        <x:v>0</x:v>
      </x:c>
      <x:c r="D56" s="16" t="n">
        <x:f>IF(COUNTIFS($B$5:B56,$B56)=1,INDEX(Sup_Credito!$B$12:$C$12,1,IF($B56="Moto para Todos",1,2)),J54)</x:f>
        <x:v>0</x:v>
      </x:c>
      <x:c r="E56" s="16" t="n">
        <x:f>MIN(SUMIFS(Proy_Credito!$G:$G,Proy_Credito!$A:$A,$A56,Proy_Credito!$B:$B,$B56),D56+F56)</x:f>
        <x:v>0</x:v>
      </x:c>
      <x:c r="F56" s="16" t="n">
        <x:f>MIN(C56,C56*INDEX(Sup_Credito!$B$13:$C$13,1,IF($B56="Moto para Todos",1,2)))</x:f>
        <x:v>0</x:v>
      </x:c>
      <x:c r="G56" s="16" t="n">
        <x:f>(C56+E56/2)*INDEX(Sup_Credito!$B$8:$C$8,1,IF($B56="Moto para Todos",1,2))</x:f>
        <x:v>0</x:v>
      </x:c>
      <x:c r="H56" s="24" t="n">
        <x:v>0</x:v>
      </x:c>
      <x:c r="I56" s="16" t="n">
        <x:f>MAX(0,C56+E56-F56)</x:f>
        <x:v>0</x:v>
      </x:c>
      <x:c r="J56" s="16" t="n">
        <x:f>MAX(0,D56+F56-E56)</x:f>
        <x:v>0</x:v>
      </x:c>
      <x:c r="K56" t="str">
        <x:f>IF(SUM(Sup_Credito!$B$11:$C$12)=0,"NO DEFINITIVO: completar saldos y capital","PROYECCIÓN EDITABLE")</x:f>
        <x:v>NO DEFINITIVO: completar saldos y capital</x:v>
      </x:c>
    </x:row>
    <x:row r="57">
      <x:c r="A57" s="26" t="n">
        <x:v>47058</x:v>
      </x:c>
      <x:c r="B57" t="str">
        <x:v>Moto para Todos</x:v>
      </x:c>
      <x:c r="C57" s="16" t="n">
        <x:f>IF(COUNTIFS($B$5:B57,$B57)=1,INDEX(Sup_Credito!$B$11:$C$11,1,IF($B57="Moto para Todos",1,2)),I55)</x:f>
        <x:v>0</x:v>
      </x:c>
      <x:c r="D57" s="16" t="n">
        <x:f>IF(COUNTIFS($B$5:B57,$B57)=1,INDEX(Sup_Credito!$B$12:$C$12,1,IF($B57="Moto para Todos",1,2)),J55)</x:f>
        <x:v>0</x:v>
      </x:c>
      <x:c r="E57" s="16" t="n">
        <x:f>MIN(SUMIFS(Proy_Credito!$G:$G,Proy_Credito!$A:$A,$A57,Proy_Credito!$B:$B,$B57),D57+F57)</x:f>
        <x:v>0</x:v>
      </x:c>
      <x:c r="F57" s="16" t="n">
        <x:f>MIN(C57,C57*INDEX(Sup_Credito!$B$13:$C$13,1,IF($B57="Moto para Todos",1,2)))</x:f>
        <x:v>0</x:v>
      </x:c>
      <x:c r="G57" s="16" t="n">
        <x:f>(C57+E57/2)*INDEX(Sup_Credito!$B$8:$C$8,1,IF($B57="Moto para Todos",1,2))</x:f>
        <x:v>0</x:v>
      </x:c>
      <x:c r="H57" s="24" t="n">
        <x:v>0</x:v>
      </x:c>
      <x:c r="I57" s="16" t="n">
        <x:f>MAX(0,C57+E57-F57)</x:f>
        <x:v>0</x:v>
      </x:c>
      <x:c r="J57" s="16" t="n">
        <x:f>MAX(0,D57+F57-E57)</x:f>
        <x:v>0</x:v>
      </x:c>
      <x:c r="K57" t="str">
        <x:f>IF(SUM(Sup_Credito!$B$11:$C$12)=0,"NO DEFINITIVO: completar saldos y capital","PROYECCIÓN EDITABLE")</x:f>
        <x:v>NO DEFINITIVO: completar saldos y capital</x:v>
      </x:c>
    </x:row>
    <x:row r="58">
      <x:c r="A58" s="26" t="n">
        <x:v>47058</x:v>
      </x:c>
      <x:c r="B58" t="str">
        <x:v>Verificarte</x:v>
      </x:c>
      <x:c r="C58" s="16" t="n">
        <x:f>IF(COUNTIFS($B$5:B58,$B58)=1,INDEX(Sup_Credito!$B$11:$C$11,1,IF($B58="Moto para Todos",1,2)),I56)</x:f>
        <x:v>0</x:v>
      </x:c>
      <x:c r="D58" s="16" t="n">
        <x:f>IF(COUNTIFS($B$5:B58,$B58)=1,INDEX(Sup_Credito!$B$12:$C$12,1,IF($B58="Moto para Todos",1,2)),J56)</x:f>
        <x:v>0</x:v>
      </x:c>
      <x:c r="E58" s="16" t="n">
        <x:f>MIN(SUMIFS(Proy_Credito!$G:$G,Proy_Credito!$A:$A,$A58,Proy_Credito!$B:$B,$B58),D58+F58)</x:f>
        <x:v>0</x:v>
      </x:c>
      <x:c r="F58" s="16" t="n">
        <x:f>MIN(C58,C58*INDEX(Sup_Credito!$B$13:$C$13,1,IF($B58="Moto para Todos",1,2)))</x:f>
        <x:v>0</x:v>
      </x:c>
      <x:c r="G58" s="16" t="n">
        <x:f>(C58+E58/2)*INDEX(Sup_Credito!$B$8:$C$8,1,IF($B58="Moto para Todos",1,2))</x:f>
        <x:v>0</x:v>
      </x:c>
      <x:c r="H58" s="24" t="n">
        <x:v>0</x:v>
      </x:c>
      <x:c r="I58" s="16" t="n">
        <x:f>MAX(0,C58+E58-F58)</x:f>
        <x:v>0</x:v>
      </x:c>
      <x:c r="J58" s="16" t="n">
        <x:f>MAX(0,D58+F58-E58)</x:f>
        <x:v>0</x:v>
      </x:c>
      <x:c r="K58" t="str">
        <x:f>IF(SUM(Sup_Credito!$B$11:$C$12)=0,"NO DEFINITIVO: completar saldos y capital","PROYECCIÓN EDITABLE")</x:f>
        <x:v>NO DEFINITIVO: completar saldos y capital</x:v>
      </x:c>
    </x:row>
    <x:row r="59">
      <x:c r="A59" s="26" t="n">
        <x:v>47088</x:v>
      </x:c>
      <x:c r="B59" t="str">
        <x:v>Moto para Todos</x:v>
      </x:c>
      <x:c r="C59" s="16" t="n">
        <x:f>IF(COUNTIFS($B$5:B59,$B59)=1,INDEX(Sup_Credito!$B$11:$C$11,1,IF($B59="Moto para Todos",1,2)),I57)</x:f>
        <x:v>0</x:v>
      </x:c>
      <x:c r="D59" s="16" t="n">
        <x:f>IF(COUNTIFS($B$5:B59,$B59)=1,INDEX(Sup_Credito!$B$12:$C$12,1,IF($B59="Moto para Todos",1,2)),J57)</x:f>
        <x:v>0</x:v>
      </x:c>
      <x:c r="E59" s="16" t="n">
        <x:f>MIN(SUMIFS(Proy_Credito!$G:$G,Proy_Credito!$A:$A,$A59,Proy_Credito!$B:$B,$B59),D59+F59)</x:f>
        <x:v>0</x:v>
      </x:c>
      <x:c r="F59" s="16" t="n">
        <x:f>MIN(C59,C59*INDEX(Sup_Credito!$B$13:$C$13,1,IF($B59="Moto para Todos",1,2)))</x:f>
        <x:v>0</x:v>
      </x:c>
      <x:c r="G59" s="16" t="n">
        <x:f>(C59+E59/2)*INDEX(Sup_Credito!$B$8:$C$8,1,IF($B59="Moto para Todos",1,2))</x:f>
        <x:v>0</x:v>
      </x:c>
      <x:c r="H59" s="24" t="n">
        <x:v>0</x:v>
      </x:c>
      <x:c r="I59" s="16" t="n">
        <x:f>MAX(0,C59+E59-F59)</x:f>
        <x:v>0</x:v>
      </x:c>
      <x:c r="J59" s="16" t="n">
        <x:f>MAX(0,D59+F59-E59)</x:f>
        <x:v>0</x:v>
      </x:c>
      <x:c r="K59" t="str">
        <x:f>IF(SUM(Sup_Credito!$B$11:$C$12)=0,"NO DEFINITIVO: completar saldos y capital","PROYECCIÓN EDITABLE")</x:f>
        <x:v>NO DEFINITIVO: completar saldos y capital</x:v>
      </x:c>
    </x:row>
    <x:row r="60">
      <x:c r="A60" s="26" t="n">
        <x:v>47088</x:v>
      </x:c>
      <x:c r="B60" t="str">
        <x:v>Verificarte</x:v>
      </x:c>
      <x:c r="C60" s="16" t="n">
        <x:f>IF(COUNTIFS($B$5:B60,$B60)=1,INDEX(Sup_Credito!$B$11:$C$11,1,IF($B60="Moto para Todos",1,2)),I58)</x:f>
        <x:v>0</x:v>
      </x:c>
      <x:c r="D60" s="16" t="n">
        <x:f>IF(COUNTIFS($B$5:B60,$B60)=1,INDEX(Sup_Credito!$B$12:$C$12,1,IF($B60="Moto para Todos",1,2)),J58)</x:f>
        <x:v>0</x:v>
      </x:c>
      <x:c r="E60" s="16" t="n">
        <x:f>MIN(SUMIFS(Proy_Credito!$G:$G,Proy_Credito!$A:$A,$A60,Proy_Credito!$B:$B,$B60),D60+F60)</x:f>
        <x:v>0</x:v>
      </x:c>
      <x:c r="F60" s="16" t="n">
        <x:f>MIN(C60,C60*INDEX(Sup_Credito!$B$13:$C$13,1,IF($B60="Moto para Todos",1,2)))</x:f>
        <x:v>0</x:v>
      </x:c>
      <x:c r="G60" s="16" t="n">
        <x:f>(C60+E60/2)*INDEX(Sup_Credito!$B$8:$C$8,1,IF($B60="Moto para Todos",1,2))</x:f>
        <x:v>0</x:v>
      </x:c>
      <x:c r="H60" s="24" t="n">
        <x:v>0</x:v>
      </x:c>
      <x:c r="I60" s="16" t="n">
        <x:f>MAX(0,C60+E60-F60)</x:f>
        <x:v>0</x:v>
      </x:c>
      <x:c r="J60" s="16" t="n">
        <x:f>MAX(0,D60+F60-E60)</x:f>
        <x:v>0</x:v>
      </x:c>
      <x:c r="K60" t="str">
        <x:f>IF(SUM(Sup_Credito!$B$11:$C$12)=0,"NO DEFINITIVO: completar saldos y capital","PROYECCIÓN EDITABLE")</x:f>
        <x:v>NO DEFINITIVO: completar saldos y capital</x:v>
      </x:c>
    </x:row>
  </x:sheetData>
  <x:mergeCells>
    <x:mergeCell ref="A1:K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1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20" hidden="0" customWidth="1"/>
    <x:col min="11" max="11" width="20" hidden="0" customWidth="1"/>
    <x:col min="12" max="12" width="20" hidden="0" customWidth="1"/>
    <x:col min="13" max="13" width="16" hidden="0" customWidth="1"/>
    <x:col min="14" max="14" width="18" hidden="0" customWidth="1"/>
    <x:col min="15" max="15" width="16" hidden="0" customWidth="1"/>
    <x:col min="16" max="16" width="14" hidden="0" customWidth="1"/>
    <x:col min="17" max="17" width="22" hidden="0" customWidth="1"/>
  </x:cols>
  <x:sheetData>
    <x:row r="1" ht="28" customHeight="1">
      <x:c r="A1" s="4" t="str">
        <x:v>PROYECCIONES PREPARADAS | ESCENARIO BASE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4">
      <x:c r="A4" s="14" t="str">
        <x:v>Periodo</x:v>
      </x:c>
      <x:c r="B4" s="14" t="str">
        <x:v>Empresa</x:v>
      </x:c>
      <x:c r="C4" s="14" t="str">
        <x:v>Unidades</x:v>
      </x:c>
      <x:c r="D4" s="14" t="str">
        <x:v>Ingresos motos</x:v>
      </x:c>
      <x:c r="E4" s="14" t="str">
        <x:v>Costo de motos</x:v>
      </x:c>
      <x:c r="F4" s="14" t="str">
        <x:v>Utilidad documentos</x:v>
      </x:c>
      <x:c r="G4" s="14" t="str">
        <x:v>Ingresos netos taller</x:v>
      </x:c>
      <x:c r="H4" s="14" t="str">
        <x:v>Utilidad repuestos</x:v>
      </x:c>
      <x:c r="I4" s="14" t="str">
        <x:v>Otros productos</x:v>
      </x:c>
      <x:c r="J4" s="14" t="str">
        <x:v>Resultado financiación</x:v>
      </x:c>
      <x:c r="K4" s="14" t="str">
        <x:v>Personal y honorarios</x:v>
      </x:c>
      <x:c r="L4" s="14" t="str">
        <x:v>Otros gastos operativos</x:v>
      </x:c>
      <x:c r="M4" s="14" t="str">
        <x:v>Depreciación</x:v>
      </x:c>
      <x:c r="N4" s="14" t="str">
        <x:v>Impuesto de renta</x:v>
      </x:c>
      <x:c r="O4" s="14" t="str">
        <x:v>Inversiones</x:v>
      </x:c>
      <x:c r="P4" s="14" t="str">
        <x:v>Escenario</x:v>
      </x:c>
      <x:c r="Q4" s="14" t="str">
        <x:v>Estado</x:v>
      </x:c>
    </x:row>
    <x:row r="5">
      <x:c r="A5" s="26" t="n">
        <x:v>46266</x:v>
      </x:c>
      <x:c r="B5" t="str">
        <x:v>Moto para Todos</x:v>
      </x:c>
      <x:c r="C5" s="7" t="n">
        <x:v>155.39</x:v>
      </x:c>
      <x:c r="D5" s="24" t="n">
        <x:v>886028807.52</x:v>
      </x:c>
      <x:c r="E5" s="24" t="n">
        <x:v>730176340.277232</x:v>
      </x:c>
      <x:c r="F5" s="24" t="n">
        <x:v>26416300</x:v>
      </x:c>
      <x:c r="G5" s="24" t="n">
        <x:v>0</x:v>
      </x:c>
      <x:c r="H5" s="24" t="n">
        <x:v>0</x:v>
      </x:c>
      <x:c r="I5" s="24" t="n">
        <x:v>0</x:v>
      </x:c>
      <x:c r="J5" s="24" t="n">
        <x:v>7044498.66624722</x:v>
      </x:c>
      <x:c r="K5" s="24" t="n">
        <x:v>90774371.830064</x:v>
      </x:c>
      <x:c r="L5" s="24" t="n">
        <x:v>48400000</x:v>
      </x:c>
      <x:c r="M5" s="24" t="n">
        <x:v>4000000</x:v>
      </x:c>
      <x:c r="N5" s="24" t="n">
        <x:v>16148612.9276329</x:v>
      </x:c>
      <x:c r="O5" s="24" t="n">
        <x:v>0</x:v>
      </x:c>
      <x:c r="P5" t="str">
        <x:v>Base</x:v>
      </x:c>
      <x:c r="Q5" t="str">
        <x:v>PREPARADO / VALIDAR</x:v>
      </x:c>
    </x:row>
    <x:row r="6">
      <x:c r="A6" s="26" t="n">
        <x:v>46296</x:v>
      </x:c>
      <x:c r="B6" t="str">
        <x:v>Moto para Todos</x:v>
      </x:c>
      <x:c r="C6" s="7" t="n">
        <x:v>158.588901098901</x:v>
      </x:c>
      <x:c r="D6" s="24" t="n">
        <x:v>904268839.221099</x:v>
      </x:c>
      <x:c r="E6" s="24" t="n">
        <x:v>745207950.402108</x:v>
      </x:c>
      <x:c r="F6" s="24" t="n">
        <x:v>26960113.1868132</x:v>
      </x:c>
      <x:c r="G6" s="24" t="n">
        <x:v>0</x:v>
      </x:c>
      <x:c r="H6" s="24" t="n">
        <x:v>0</x:v>
      </x:c>
      <x:c r="I6" s="24" t="n">
        <x:v>0</x:v>
      </x:c>
      <x:c r="J6" s="24" t="n">
        <x:v>12163863.7126627</x:v>
      </x:c>
      <x:c r="K6" s="24" t="n">
        <x:v>90774371.830064</x:v>
      </x:c>
      <x:c r="L6" s="24" t="n">
        <x:v>48400000</x:v>
      </x:c>
      <x:c r="M6" s="24" t="n">
        <x:v>4000000</x:v>
      </x:c>
      <x:c r="N6" s="24" t="n">
        <x:v>19253672.8609411</x:v>
      </x:c>
      <x:c r="O6" s="24" t="n">
        <x:v>0</x:v>
      </x:c>
      <x:c r="P6" t="str">
        <x:v>Base</x:v>
      </x:c>
      <x:c r="Q6" t="str">
        <x:v>PREPARADO / VALIDAR</x:v>
      </x:c>
    </x:row>
    <x:row r="7">
      <x:c r="A7" s="26" t="n">
        <x:v>46327</x:v>
      </x:c>
      <x:c r="B7" t="str">
        <x:v>Moto para Todos</x:v>
      </x:c>
      <x:c r="C7" s="7" t="n">
        <x:v>161.894432234432</x:v>
      </x:c>
      <x:c r="D7" s="24" t="n">
        <x:v>923116871.978901</x:v>
      </x:c>
      <x:c r="E7" s="24" t="n">
        <x:v>760740614.197812</x:v>
      </x:c>
      <x:c r="F7" s="24" t="n">
        <x:v>27522053.4798535</x:v>
      </x:c>
      <x:c r="G7" s="24" t="n">
        <x:v>0</x:v>
      </x:c>
      <x:c r="H7" s="24" t="n">
        <x:v>0</x:v>
      </x:c>
      <x:c r="I7" s="24" t="n">
        <x:v>0</x:v>
      </x:c>
      <x:c r="J7" s="24" t="n">
        <x:v>17181797.59643</x:v>
      </x:c>
      <x:c r="K7" s="24" t="n">
        <x:v>90774371.830064</x:v>
      </x:c>
      <x:c r="L7" s="24" t="n">
        <x:v>48400000</x:v>
      </x:c>
      <x:c r="M7" s="24" t="n">
        <x:v>4000000</x:v>
      </x:c>
      <x:c r="N7" s="24" t="n">
        <x:v>22367007.9595578</x:v>
      </x:c>
      <x:c r="O7" s="24" t="n">
        <x:v>0</x:v>
      </x:c>
      <x:c r="P7" t="str">
        <x:v>Base</x:v>
      </x:c>
      <x:c r="Q7" t="str">
        <x:v>PREPARADO / VALIDAR</x:v>
      </x:c>
    </x:row>
    <x:row r="8">
      <x:c r="A8" s="26" t="n">
        <x:v>46357</x:v>
      </x:c>
      <x:c r="B8" t="str">
        <x:v>Moto para Todos</x:v>
      </x:c>
      <x:c r="C8" s="7" t="n">
        <x:v>165.093333333333</x:v>
      </x:c>
      <x:c r="D8" s="24" t="n">
        <x:v>941356903.68</x:v>
      </x:c>
      <x:c r="E8" s="24" t="n">
        <x:v>775772224.322688</x:v>
      </x:c>
      <x:c r="F8" s="24" t="n">
        <x:v>28065866.6666667</x:v>
      </x:c>
      <x:c r="G8" s="24" t="n">
        <x:v>0</x:v>
      </x:c>
      <x:c r="H8" s="24" t="n">
        <x:v>0</x:v>
      </x:c>
      <x:c r="I8" s="24" t="n">
        <x:v>0</x:v>
      </x:c>
      <x:c r="J8" s="24" t="n">
        <x:v>22103892.0006081</x:v>
      </x:c>
      <x:c r="K8" s="24" t="n">
        <x:v>90774371.830064</x:v>
      </x:c>
      <x:c r="L8" s="24" t="n">
        <x:v>48400000</x:v>
      </x:c>
      <x:c r="M8" s="24" t="n">
        <x:v>4000000</x:v>
      </x:c>
      <x:c r="N8" s="24" t="n">
        <x:v>25403023.1680829</x:v>
      </x:c>
      <x:c r="O8" s="24" t="n">
        <x:v>0</x:v>
      </x:c>
      <x:c r="P8" t="str">
        <x:v>Base</x:v>
      </x:c>
      <x:c r="Q8" t="str">
        <x:v>PREPARADO / VALIDAR</x:v>
      </x:c>
    </x:row>
    <x:row r="9">
      <x:c r="A9" s="26" t="n">
        <x:v>46388</x:v>
      </x:c>
      <x:c r="B9" t="str">
        <x:v>Moto para Todos</x:v>
      </x:c>
      <x:c r="C9" s="7" t="n">
        <x:v>168.398864468864</x:v>
      </x:c>
      <x:c r="D9" s="24" t="n">
        <x:v>960204936.437802</x:v>
      </x:c>
      <x:c r="E9" s="24" t="n">
        <x:v>791304888.118393</x:v>
      </x:c>
      <x:c r="F9" s="24" t="n">
        <x:v>28627806.959707</x:v>
      </x:c>
      <x:c r="G9" s="24" t="n">
        <x:v>0</x:v>
      </x:c>
      <x:c r="H9" s="24" t="n">
        <x:v>0</x:v>
      </x:c>
      <x:c r="I9" s="24" t="n">
        <x:v>0</x:v>
      </x:c>
      <x:c r="J9" s="24" t="n">
        <x:v>26932774.8522311</x:v>
      </x:c>
      <x:c r="K9" s="24" t="n">
        <x:v>90774371.830064</x:v>
      </x:c>
      <x:c r="L9" s="24" t="n">
        <x:v>51304000</x:v>
      </x:c>
      <x:c r="M9" s="24" t="n">
        <x:v>4000000</x:v>
      </x:c>
      <x:c r="N9" s="24" t="n">
        <x:v>27433790.4054492</x:v>
      </x:c>
      <x:c r="O9" s="24" t="n">
        <x:v>0</x:v>
      </x:c>
      <x:c r="P9" t="str">
        <x:v>Base</x:v>
      </x:c>
      <x:c r="Q9" t="str">
        <x:v>PREPARADO / VALIDAR</x:v>
      </x:c>
    </x:row>
    <x:row r="10">
      <x:c r="A10" s="26" t="n">
        <x:v>46419</x:v>
      </x:c>
      <x:c r="B10" t="str">
        <x:v>Moto para Todos</x:v>
      </x:c>
      <x:c r="C10" s="7" t="n">
        <x:v>171.704395604396</x:v>
      </x:c>
      <x:c r="D10" s="24" t="n">
        <x:v>979052969.195604</x:v>
      </x:c>
      <x:c r="E10" s="24" t="n">
        <x:v>806837551.914098</x:v>
      </x:c>
      <x:c r="F10" s="24" t="n">
        <x:v>29189747.2527473</x:v>
      </x:c>
      <x:c r="G10" s="24" t="n">
        <x:v>0</x:v>
      </x:c>
      <x:c r="H10" s="24" t="n">
        <x:v>0</x:v>
      </x:c>
      <x:c r="I10" s="24" t="n">
        <x:v>0</x:v>
      </x:c>
      <x:c r="J10" s="24" t="n">
        <x:v>31674857.8780768</x:v>
      </x:c>
      <x:c r="K10" s="24" t="n">
        <x:v>90774371.830064</x:v>
      </x:c>
      <x:c r="L10" s="24" t="n">
        <x:v>51304000</x:v>
      </x:c>
      <x:c r="M10" s="24" t="n">
        <x:v>4000000</x:v>
      </x:c>
      <x:c r="N10" s="24" t="n">
        <x:v>30450577.7037934</x:v>
      </x:c>
      <x:c r="O10" s="24" t="n">
        <x:v>0</x:v>
      </x:c>
      <x:c r="P10" t="str">
        <x:v>Base</x:v>
      </x:c>
      <x:c r="Q10" t="str">
        <x:v>PREPARADO / VALIDAR</x:v>
      </x:c>
    </x:row>
    <x:row r="11">
      <x:c r="A11" s="26" t="n">
        <x:v>46447</x:v>
      </x:c>
      <x:c r="B11" t="str">
        <x:v>Moto para Todos</x:v>
      </x:c>
      <x:c r="C11" s="7" t="n">
        <x:v>174.690036630037</x:v>
      </x:c>
      <x:c r="D11" s="24" t="n">
        <x:v>996076998.783297</x:v>
      </x:c>
      <x:c r="E11" s="24" t="n">
        <x:v>820867054.697315</x:v>
      </x:c>
      <x:c r="F11" s="24" t="n">
        <x:v>29697306.2271062</x:v>
      </x:c>
      <x:c r="G11" s="24" t="n">
        <x:v>0</x:v>
      </x:c>
      <x:c r="H11" s="24" t="n">
        <x:v>0</x:v>
      </x:c>
      <x:c r="I11" s="24" t="n">
        <x:v>0</x:v>
      </x:c>
      <x:c r="J11" s="24" t="n">
        <x:v>36330270.1551349</x:v>
      </x:c>
      <x:c r="K11" s="24" t="n">
        <x:v>90774371.830064</x:v>
      </x:c>
      <x:c r="L11" s="24" t="n">
        <x:v>51304000</x:v>
      </x:c>
      <x:c r="M11" s="24" t="n">
        <x:v>4000000</x:v>
      </x:c>
      <x:c r="N11" s="24" t="n">
        <x:v>33305702.0233556</x:v>
      </x:c>
      <x:c r="O11" s="24" t="n">
        <x:v>0</x:v>
      </x:c>
      <x:c r="P11" t="str">
        <x:v>Base</x:v>
      </x:c>
      <x:c r="Q11" t="str">
        <x:v>PREPARADO / VALIDAR</x:v>
      </x:c>
    </x:row>
    <x:row r="12">
      <x:c r="A12" s="26" t="n">
        <x:v>46478</x:v>
      </x:c>
      <x:c r="B12" t="str">
        <x:v>Moto para Todos</x:v>
      </x:c>
      <x:c r="C12" s="7" t="n">
        <x:v>177.995567765568</x:v>
      </x:c>
      <x:c r="D12" s="24" t="n">
        <x:v>1014925031.5411</x:v>
      </x:c>
      <x:c r="E12" s="24" t="n">
        <x:v>836399718.49302</x:v>
      </x:c>
      <x:c r="F12" s="24" t="n">
        <x:v>30259246.5201465</x:v>
      </x:c>
      <x:c r="G12" s="24" t="n">
        <x:v>0</x:v>
      </x:c>
      <x:c r="H12" s="24" t="n">
        <x:v>0</x:v>
      </x:c>
      <x:c r="I12" s="24" t="n">
        <x:v>0</x:v>
      </x:c>
      <x:c r="J12" s="24" t="n">
        <x:v>40898526.8107589</x:v>
      </x:c>
      <x:c r="K12" s="24" t="n">
        <x:v>90774371.830064</x:v>
      </x:c>
      <x:c r="L12" s="24" t="n">
        <x:v>51304000</x:v>
      </x:c>
      <x:c r="M12" s="24" t="n">
        <x:v>4000000</x:v>
      </x:c>
      <x:c r="N12" s="24" t="n">
        <x:v>36261650.0921222</x:v>
      </x:c>
      <x:c r="O12" s="24" t="n">
        <x:v>0</x:v>
      </x:c>
      <x:c r="P12" t="str">
        <x:v>Base</x:v>
      </x:c>
      <x:c r="Q12" t="str">
        <x:v>PREPARADO / VALIDAR</x:v>
      </x:c>
    </x:row>
    <x:row r="13">
      <x:c r="A13" s="26" t="n">
        <x:v>46508</x:v>
      </x:c>
      <x:c r="B13" t="str">
        <x:v>Moto para Todos</x:v>
      </x:c>
      <x:c r="C13" s="7" t="n">
        <x:v>181.194468864469</x:v>
      </x:c>
      <x:c r="D13" s="24" t="n">
        <x:v>1033165063.2422</x:v>
      </x:c>
      <x:c r="E13" s="24" t="n">
        <x:v>851431328.617895</x:v>
      </x:c>
      <x:c r="F13" s="24" t="n">
        <x:v>30803059.7069597</x:v>
      </x:c>
      <x:c r="G13" s="24" t="n">
        <x:v>0</x:v>
      </x:c>
      <x:c r="H13" s="24" t="n">
        <x:v>0</x:v>
      </x:c>
      <x:c r="I13" s="24" t="n">
        <x:v>0</x:v>
      </x:c>
      <x:c r="J13" s="24" t="n">
        <x:v>45389680.5379663</x:v>
      </x:c>
      <x:c r="K13" s="24" t="n">
        <x:v>90774371.830064</x:v>
      </x:c>
      <x:c r="L13" s="24" t="n">
        <x:v>51304000</x:v>
      </x:c>
      <x:c r="M13" s="24" t="n">
        <x:v>4000000</x:v>
      </x:c>
      <x:c r="N13" s="24" t="n">
        <x:v>39146836.0637076</x:v>
      </x:c>
      <x:c r="O13" s="24" t="n">
        <x:v>0</x:v>
      </x:c>
      <x:c r="P13" t="str">
        <x:v>Base</x:v>
      </x:c>
      <x:c r="Q13" t="str">
        <x:v>PREPARADO / VALIDAR</x:v>
      </x:c>
    </x:row>
    <x:row r="14">
      <x:c r="A14" s="26" t="n">
        <x:v>46539</x:v>
      </x:c>
      <x:c r="B14" t="str">
        <x:v>Moto para Todos</x:v>
      </x:c>
      <x:c r="C14" s="7" t="n">
        <x:v>184.5</x:v>
      </x:c>
      <x:c r="D14" s="24" t="n">
        <x:v>1052013096</x:v>
      </x:c>
      <x:c r="E14" s="24" t="n">
        <x:v>866963992.4136</x:v>
      </x:c>
      <x:c r="F14" s="24" t="n">
        <x:v>31365000</x:v>
      </x:c>
      <x:c r="G14" s="24" t="n">
        <x:v>0</x:v>
      </x:c>
      <x:c r="H14" s="24" t="n">
        <x:v>0</x:v>
      </x:c>
      <x:c r="I14" s="24" t="n">
        <x:v>0</x:v>
      </x:c>
      <x:c r="J14" s="24" t="n">
        <x:v>49805578.5741591</x:v>
      </x:c>
      <x:c r="K14" s="24" t="n">
        <x:v>90774371.830064</x:v>
      </x:c>
      <x:c r="L14" s="24" t="n">
        <x:v>51304000</x:v>
      </x:c>
      <x:c r="M14" s="24" t="n">
        <x:v>4000000</x:v>
      </x:c>
      <x:c r="N14" s="24" t="n">
        <x:v>42049458.6156732</x:v>
      </x:c>
      <x:c r="O14" s="24" t="n">
        <x:v>0</x:v>
      </x:c>
      <x:c r="P14" t="str">
        <x:v>Base</x:v>
      </x:c>
      <x:c r="Q14" t="str">
        <x:v>PREPARADO / VALIDAR</x:v>
      </x:c>
    </x:row>
    <x:row r="15">
      <x:c r="A15" s="26" t="n">
        <x:v>46569</x:v>
      </x:c>
      <x:c r="B15" t="str">
        <x:v>Moto para Todos</x:v>
      </x:c>
      <x:c r="C15" s="7" t="n">
        <x:v>187.860655737705</x:v>
      </x:c>
      <x:c r="D15" s="24" t="n">
        <x:v>1071175447.47541</x:v>
      </x:c>
      <x:c r="E15" s="24" t="n">
        <x:v>882755686.264485</x:v>
      </x:c>
      <x:c r="F15" s="24" t="n">
        <x:v>31936311.4754098</x:v>
      </x:c>
      <x:c r="G15" s="24" t="n">
        <x:v>0</x:v>
      </x:c>
      <x:c r="H15" s="24" t="n">
        <x:v>0</x:v>
      </x:c>
      <x:c r="I15" s="24" t="n">
        <x:v>0</x:v>
      </x:c>
      <x:c r="J15" s="24" t="n">
        <x:v>54152485.4778314</x:v>
      </x:c>
      <x:c r="K15" s="24" t="n">
        <x:v>90774371.830064</x:v>
      </x:c>
      <x:c r="L15" s="24" t="n">
        <x:v>51304000</x:v>
      </x:c>
      <x:c r="M15" s="24" t="n">
        <x:v>4000000</x:v>
      </x:c>
      <x:c r="N15" s="24" t="n">
        <x:v>44950565.2169356</x:v>
      </x:c>
      <x:c r="O15" s="24" t="n">
        <x:v>0</x:v>
      </x:c>
      <x:c r="P15" t="str">
        <x:v>Base</x:v>
      </x:c>
      <x:c r="Q15" t="str">
        <x:v>PREPARADO / VALIDAR</x:v>
      </x:c>
    </x:row>
    <x:row r="16">
      <x:c r="A16" s="26" t="n">
        <x:v>46600</x:v>
      </x:c>
      <x:c r="B16" t="str">
        <x:v>Moto para Todos</x:v>
      </x:c>
      <x:c r="C16" s="7" t="n">
        <x:v>191.333333333333</x:v>
      </x:c>
      <x:c r="D16" s="24" t="n">
        <x:v>1090976544</x:v>
      </x:c>
      <x:c r="E16" s="24" t="n">
        <x:v>899073769.9104</x:v>
      </x:c>
      <x:c r="F16" s="24" t="n">
        <x:v>32526666.6666667</x:v>
      </x:c>
      <x:c r="G16" s="24" t="n">
        <x:v>0</x:v>
      </x:c>
      <x:c r="H16" s="24" t="n">
        <x:v>0</x:v>
      </x:c>
      <x:c r="I16" s="24" t="n">
        <x:v>0</x:v>
      </x:c>
      <x:c r="J16" s="24" t="n">
        <x:v>58435804.0474026</x:v>
      </x:c>
      <x:c r="K16" s="24" t="n">
        <x:v>90774371.830064</x:v>
      </x:c>
      <x:c r="L16" s="24" t="n">
        <x:v>51304000</x:v>
      </x:c>
      <x:c r="M16" s="24" t="n">
        <x:v>4000000</x:v>
      </x:c>
      <x:c r="N16" s="24" t="n">
        <x:v>47875405.5407618</x:v>
      </x:c>
      <x:c r="O16" s="24" t="n">
        <x:v>0</x:v>
      </x:c>
      <x:c r="P16" t="str">
        <x:v>Base</x:v>
      </x:c>
      <x:c r="Q16" t="str">
        <x:v>PREPARADO / VALIDAR</x:v>
      </x:c>
    </x:row>
    <x:row r="17">
      <x:c r="A17" s="26" t="n">
        <x:v>46631</x:v>
      </x:c>
      <x:c r="B17" t="str">
        <x:v>Moto para Todos</x:v>
      </x:c>
      <x:c r="C17" s="7" t="n">
        <x:v>194.806010928962</x:v>
      </x:c>
      <x:c r="D17" s="24" t="n">
        <x:v>1110777640.52459</x:v>
      </x:c>
      <x:c r="E17" s="24" t="n">
        <x:v>915391853.556315</x:v>
      </x:c>
      <x:c r="F17" s="24" t="n">
        <x:v>33117021.8579235</x:v>
      </x:c>
      <x:c r="G17" s="24" t="n">
        <x:v>0</x:v>
      </x:c>
      <x:c r="H17" s="24" t="n">
        <x:v>0</x:v>
      </x:c>
      <x:c r="I17" s="24" t="n">
        <x:v>0</x:v>
      </x:c>
      <x:c r="J17" s="24" t="n">
        <x:v>62660839.5344986</x:v>
      </x:c>
      <x:c r="K17" s="24" t="n">
        <x:v>90774371.830064</x:v>
      </x:c>
      <x:c r="L17" s="24" t="n">
        <x:v>51304000</x:v>
      </x:c>
      <x:c r="M17" s="24" t="n">
        <x:v>4000000</x:v>
      </x:c>
      <x:c r="N17" s="24" t="n">
        <x:v>50779846.7857217</x:v>
      </x:c>
      <x:c r="O17" s="24" t="n">
        <x:v>0</x:v>
      </x:c>
      <x:c r="P17" t="str">
        <x:v>Base</x:v>
      </x:c>
      <x:c r="Q17" t="str">
        <x:v>PREPARADO / VALIDAR</x:v>
      </x:c>
    </x:row>
    <x:row r="18">
      <x:c r="A18" s="26" t="n">
        <x:v>46661</x:v>
      </x:c>
      <x:c r="B18" t="str">
        <x:v>Moto para Todos</x:v>
      </x:c>
      <x:c r="C18" s="7" t="n">
        <x:v>198.166666666667</x:v>
      </x:c>
      <x:c r="D18" s="24" t="n">
        <x:v>1129939992</x:v>
      </x:c>
      <x:c r="E18" s="24" t="n">
        <x:v>931183547.4072</x:v>
      </x:c>
      <x:c r="F18" s="24" t="n">
        <x:v>33688333.3333333</x:v>
      </x:c>
      <x:c r="G18" s="24" t="n">
        <x:v>0</x:v>
      </x:c>
      <x:c r="H18" s="24" t="n">
        <x:v>0</x:v>
      </x:c>
      <x:c r="I18" s="24" t="n">
        <x:v>0</x:v>
      </x:c>
      <x:c r="J18" s="24" t="n">
        <x:v>66828799.0894136</x:v>
      </x:c>
      <x:c r="K18" s="24" t="n">
        <x:v>90774371.830064</x:v>
      </x:c>
      <x:c r="L18" s="24" t="n">
        <x:v>51304000</x:v>
      </x:c>
      <x:c r="M18" s="24" t="n">
        <x:v>4000000</x:v>
      </x:c>
      <x:c r="N18" s="24" t="n">
        <x:v>53618321.814919</x:v>
      </x:c>
      <x:c r="O18" s="24" t="n">
        <x:v>0</x:v>
      </x:c>
      <x:c r="P18" t="str">
        <x:v>Base</x:v>
      </x:c>
      <x:c r="Q18" t="str">
        <x:v>PREPARADO / VALIDAR</x:v>
      </x:c>
    </x:row>
    <x:row r="19">
      <x:c r="A19" s="26" t="n">
        <x:v>46692</x:v>
      </x:c>
      <x:c r="B19" t="str">
        <x:v>Moto para Todos</x:v>
      </x:c>
      <x:c r="C19" s="7" t="n">
        <x:v>201.639344262295</x:v>
      </x:c>
      <x:c r="D19" s="24" t="n">
        <x:v>1149741088.52459</x:v>
      </x:c>
      <x:c r="E19" s="24" t="n">
        <x:v>947501631.053115</x:v>
      </x:c>
      <x:c r="F19" s="24" t="n">
        <x:v>34278688.5245902</x:v>
      </x:c>
      <x:c r="G19" s="24" t="n">
        <x:v>0</x:v>
      </x:c>
      <x:c r="H19" s="24" t="n">
        <x:v>0</x:v>
      </x:c>
      <x:c r="I19" s="24" t="n">
        <x:v>0</x:v>
      </x:c>
      <x:c r="J19" s="24" t="n">
        <x:v>70940626.449759</x:v>
      </x:c>
      <x:c r="K19" s="24" t="n">
        <x:v>90774371.830064</x:v>
      </x:c>
      <x:c r="L19" s="24" t="n">
        <x:v>51304000</x:v>
      </x:c>
      <x:c r="M19" s="24" t="n">
        <x:v>4000000</x:v>
      </x:c>
      <x:c r="N19" s="24" t="n">
        <x:v>56483140.2155162</x:v>
      </x:c>
      <x:c r="O19" s="24" t="n">
        <x:v>0</x:v>
      </x:c>
      <x:c r="P19" t="str">
        <x:v>Base</x:v>
      </x:c>
      <x:c r="Q19" t="str">
        <x:v>PREPARADO / VALIDAR</x:v>
      </x:c>
    </x:row>
    <x:row r="20">
      <x:c r="A20" s="26" t="n">
        <x:v>46722</x:v>
      </x:c>
      <x:c r="B20" t="str">
        <x:v>Moto para Todos</x:v>
      </x:c>
      <x:c r="C20" s="7" t="n">
        <x:v>205</x:v>
      </x:c>
      <x:c r="D20" s="24" t="n">
        <x:v>1168903440</x:v>
      </x:c>
      <x:c r="E20" s="24" t="n">
        <x:v>963293324.904</x:v>
      </x:c>
      <x:c r="F20" s="24" t="n">
        <x:v>34850000</x:v>
      </x:c>
      <x:c r="G20" s="24" t="n">
        <x:v>0</x:v>
      </x:c>
      <x:c r="H20" s="24" t="n">
        <x:v>0</x:v>
      </x:c>
      <x:c r="I20" s="24" t="n">
        <x:v>0</x:v>
      </x:c>
      <x:c r="J20" s="24" t="n">
        <x:v>75000094.8832049</x:v>
      </x:c>
      <x:c r="K20" s="24" t="n">
        <x:v>90774371.830064</x:v>
      </x:c>
      <x:c r="L20" s="24" t="n">
        <x:v>51304000</x:v>
      </x:c>
      <x:c r="M20" s="24" t="n">
        <x:v>4000000</x:v>
      </x:c>
      <x:c r="N20" s="24" t="n">
        <x:v>59283643.3521993</x:v>
      </x:c>
      <x:c r="O20" s="24" t="n">
        <x:v>0</x:v>
      </x:c>
      <x:c r="P20" t="str">
        <x:v>Base</x:v>
      </x:c>
      <x:c r="Q20" t="str">
        <x:v>PREPARADO / VALIDAR</x:v>
      </x:c>
    </x:row>
    <x:row r="21">
      <x:c r="A21" s="26" t="n">
        <x:v>46753</x:v>
      </x:c>
      <x:c r="B21" t="str">
        <x:v>Moto para Todos</x:v>
      </x:c>
      <x:c r="C21" s="7" t="n">
        <x:v>205</x:v>
      </x:c>
      <x:c r="D21" s="24" t="n">
        <x:v>1168903440</x:v>
      </x:c>
      <x:c r="E21" s="24" t="n">
        <x:v>963293324.904</x:v>
      </x:c>
      <x:c r="F21" s="24" t="n">
        <x:v>34850000</x:v>
      </x:c>
      <x:c r="G21" s="24" t="n">
        <x:v>0</x:v>
      </x:c>
      <x:c r="H21" s="24" t="n">
        <x:v>0</x:v>
      </x:c>
      <x:c r="I21" s="24" t="n">
        <x:v>0</x:v>
      </x:c>
      <x:c r="J21" s="24" t="n">
        <x:v>78970090.929738</x:v>
      </x:c>
      <x:c r="K21" s="24" t="n">
        <x:v>90774371.830064</x:v>
      </x:c>
      <x:c r="L21" s="24" t="n">
        <x:v>54382240</x:v>
      </x:c>
      <x:c r="M21" s="24" t="n">
        <x:v>4000000</x:v>
      </x:c>
      <x:c r="N21" s="24" t="n">
        <x:v>59595757.9684859</x:v>
      </x:c>
      <x:c r="O21" s="24" t="n">
        <x:v>0</x:v>
      </x:c>
      <x:c r="P21" t="str">
        <x:v>Base</x:v>
      </x:c>
      <x:c r="Q21" t="str">
        <x:v>PREPARADO / VALIDAR</x:v>
      </x:c>
    </x:row>
    <x:row r="22">
      <x:c r="A22" s="26" t="n">
        <x:v>46784</x:v>
      </x:c>
      <x:c r="B22" t="str">
        <x:v>Moto para Todos</x:v>
      </x:c>
      <x:c r="C22" s="7" t="n">
        <x:v>205</x:v>
      </x:c>
      <x:c r="D22" s="24" t="n">
        <x:v>1168903440</x:v>
      </x:c>
      <x:c r="E22" s="24" t="n">
        <x:v>963293324.904</x:v>
      </x:c>
      <x:c r="F22" s="24" t="n">
        <x:v>34850000</x:v>
      </x:c>
      <x:c r="G22" s="24" t="n">
        <x:v>0</x:v>
      </x:c>
      <x:c r="H22" s="24" t="n">
        <x:v>0</x:v>
      </x:c>
      <x:c r="I22" s="24" t="n">
        <x:v>0</x:v>
      </x:c>
      <x:c r="J22" s="24" t="n">
        <x:v>82774670.4743323</x:v>
      </x:c>
      <x:c r="K22" s="24" t="n">
        <x:v>90774371.830064</x:v>
      </x:c>
      <x:c r="L22" s="24" t="n">
        <x:v>54382240</x:v>
      </x:c>
      <x:c r="M22" s="24" t="n">
        <x:v>4000000</x:v>
      </x:c>
      <x:c r="N22" s="24" t="n">
        <x:v>60927360.8090939</x:v>
      </x:c>
      <x:c r="O22" s="24" t="n">
        <x:v>0</x:v>
      </x:c>
      <x:c r="P22" t="str">
        <x:v>Base</x:v>
      </x:c>
      <x:c r="Q22" t="str">
        <x:v>PREPARADO / VALIDAR</x:v>
      </x:c>
    </x:row>
    <x:row r="23">
      <x:c r="A23" s="26" t="n">
        <x:v>46813</x:v>
      </x:c>
      <x:c r="B23" t="str">
        <x:v>Moto para Todos</x:v>
      </x:c>
      <x:c r="C23" s="7" t="n">
        <x:v>205</x:v>
      </x:c>
      <x:c r="D23" s="24" t="n">
        <x:v>1168903440</x:v>
      </x:c>
      <x:c r="E23" s="24" t="n">
        <x:v>963293324.904</x:v>
      </x:c>
      <x:c r="F23" s="24" t="n">
        <x:v>34850000</x:v>
      </x:c>
      <x:c r="G23" s="24" t="n">
        <x:v>0</x:v>
      </x:c>
      <x:c r="H23" s="24" t="n">
        <x:v>0</x:v>
      </x:c>
      <x:c r="I23" s="24" t="n">
        <x:v>0</x:v>
      </x:c>
      <x:c r="J23" s="24" t="n">
        <x:v>86420725.8712351</x:v>
      </x:c>
      <x:c r="K23" s="24" t="n">
        <x:v>90774371.830064</x:v>
      </x:c>
      <x:c r="L23" s="24" t="n">
        <x:v>54382240</x:v>
      </x:c>
      <x:c r="M23" s="24" t="n">
        <x:v>4000000</x:v>
      </x:c>
      <x:c r="N23" s="24" t="n">
        <x:v>62203480.1980099</x:v>
      </x:c>
      <x:c r="O23" s="24" t="n">
        <x:v>0</x:v>
      </x:c>
      <x:c r="P23" t="str">
        <x:v>Base</x:v>
      </x:c>
      <x:c r="Q23" t="str">
        <x:v>PREPARADO / VALIDAR</x:v>
      </x:c>
    </x:row>
    <x:row r="24">
      <x:c r="A24" s="26" t="n">
        <x:v>46844</x:v>
      </x:c>
      <x:c r="B24" t="str">
        <x:v>Moto para Todos</x:v>
      </x:c>
      <x:c r="C24" s="7" t="n">
        <x:v>205</x:v>
      </x:c>
      <x:c r="D24" s="24" t="n">
        <x:v>1168903440</x:v>
      </x:c>
      <x:c r="E24" s="24" t="n">
        <x:v>963293324.904</x:v>
      </x:c>
      <x:c r="F24" s="24" t="n">
        <x:v>34850000</x:v>
      </x:c>
      <x:c r="G24" s="24" t="n">
        <x:v>0</x:v>
      </x:c>
      <x:c r="H24" s="24" t="n">
        <x:v>0</x:v>
      </x:c>
      <x:c r="I24" s="24" t="n">
        <x:v>0</x:v>
      </x:c>
      <x:c r="J24" s="24" t="n">
        <x:v>89914862.293267</x:v>
      </x:c>
      <x:c r="K24" s="24" t="n">
        <x:v>90774371.830064</x:v>
      </x:c>
      <x:c r="L24" s="24" t="n">
        <x:v>54382240</x:v>
      </x:c>
      <x:c r="M24" s="24" t="n">
        <x:v>4000000</x:v>
      </x:c>
      <x:c r="N24" s="24" t="n">
        <x:v>63426427.945721</x:v>
      </x:c>
      <x:c r="O24" s="24" t="n">
        <x:v>0</x:v>
      </x:c>
      <x:c r="P24" t="str">
        <x:v>Base</x:v>
      </x:c>
      <x:c r="Q24" t="str">
        <x:v>PREPARADO / VALIDAR</x:v>
      </x:c>
    </x:row>
    <x:row r="25">
      <x:c r="A25" s="26" t="n">
        <x:v>46874</x:v>
      </x:c>
      <x:c r="B25" t="str">
        <x:v>Moto para Todos</x:v>
      </x:c>
      <x:c r="C25" s="7" t="n">
        <x:v>205</x:v>
      </x:c>
      <x:c r="D25" s="24" t="n">
        <x:v>1168903440</x:v>
      </x:c>
      <x:c r="E25" s="24" t="n">
        <x:v>963293324.904</x:v>
      </x:c>
      <x:c r="F25" s="24" t="n">
        <x:v>34850000</x:v>
      </x:c>
      <x:c r="G25" s="24" t="n">
        <x:v>0</x:v>
      </x:c>
      <x:c r="H25" s="24" t="n">
        <x:v>0</x:v>
      </x:c>
      <x:c r="I25" s="24" t="n">
        <x:v>0</x:v>
      </x:c>
      <x:c r="J25" s="24" t="n">
        <x:v>93263409.6977142</x:v>
      </x:c>
      <x:c r="K25" s="24" t="n">
        <x:v>90774371.830064</x:v>
      </x:c>
      <x:c r="L25" s="24" t="n">
        <x:v>54382240</x:v>
      </x:c>
      <x:c r="M25" s="24" t="n">
        <x:v>4000000</x:v>
      </x:c>
      <x:c r="N25" s="24" t="n">
        <x:v>64598419.5372776</x:v>
      </x:c>
      <x:c r="O25" s="24" t="n">
        <x:v>0</x:v>
      </x:c>
      <x:c r="P25" t="str">
        <x:v>Base</x:v>
      </x:c>
      <x:c r="Q25" t="str">
        <x:v>PREPARADO / VALIDAR</x:v>
      </x:c>
    </x:row>
    <x:row r="26">
      <x:c r="A26" s="26" t="n">
        <x:v>46905</x:v>
      </x:c>
      <x:c r="B26" t="str">
        <x:v>Moto para Todos</x:v>
      </x:c>
      <x:c r="C26" s="7" t="n">
        <x:v>205</x:v>
      </x:c>
      <x:c r="D26" s="24" t="n">
        <x:v>1168903440</x:v>
      </x:c>
      <x:c r="E26" s="24" t="n">
        <x:v>963293324.904</x:v>
      </x:c>
      <x:c r="F26" s="24" t="n">
        <x:v>34850000</x:v>
      </x:c>
      <x:c r="G26" s="24" t="n">
        <x:v>0</x:v>
      </x:c>
      <x:c r="H26" s="24" t="n">
        <x:v>0</x:v>
      </x:c>
      <x:c r="I26" s="24" t="n">
        <x:v>0</x:v>
      </x:c>
      <x:c r="J26" s="24" t="n">
        <x:v>96472434.2936428</x:v>
      </x:c>
      <x:c r="K26" s="24" t="n">
        <x:v>90774371.830064</x:v>
      </x:c>
      <x:c r="L26" s="24" t="n">
        <x:v>54382240</x:v>
      </x:c>
      <x:c r="M26" s="24" t="n">
        <x:v>4000000</x:v>
      </x:c>
      <x:c r="N26" s="24" t="n">
        <x:v>65721578.1458525</x:v>
      </x:c>
      <x:c r="O26" s="24" t="n">
        <x:v>0</x:v>
      </x:c>
      <x:c r="P26" t="str">
        <x:v>Base</x:v>
      </x:c>
      <x:c r="Q26" t="str">
        <x:v>PREPARADO / VALIDAR</x:v>
      </x:c>
    </x:row>
    <x:row r="27">
      <x:c r="A27" s="26" t="n">
        <x:v>46935</x:v>
      </x:c>
      <x:c r="B27" t="str">
        <x:v>Moto para Todos</x:v>
      </x:c>
      <x:c r="C27" s="7" t="n">
        <x:v>205</x:v>
      </x:c>
      <x:c r="D27" s="24" t="n">
        <x:v>1168903440</x:v>
      </x:c>
      <x:c r="E27" s="24" t="n">
        <x:v>963293324.904</x:v>
      </x:c>
      <x:c r="F27" s="24" t="n">
        <x:v>34850000</x:v>
      </x:c>
      <x:c r="G27" s="24" t="n">
        <x:v>0</x:v>
      </x:c>
      <x:c r="H27" s="24" t="n">
        <x:v>0</x:v>
      </x:c>
      <x:c r="I27" s="24" t="n">
        <x:v>0</x:v>
      </x:c>
      <x:c r="J27" s="24" t="n">
        <x:v>99547749.5314076</x:v>
      </x:c>
      <x:c r="K27" s="24" t="n">
        <x:v>90774371.830064</x:v>
      </x:c>
      <x:c r="L27" s="24" t="n">
        <x:v>54382240</x:v>
      </x:c>
      <x:c r="M27" s="24" t="n">
        <x:v>4000000</x:v>
      </x:c>
      <x:c r="N27" s="24" t="n">
        <x:v>66797938.4790702</x:v>
      </x:c>
      <x:c r="O27" s="24" t="n">
        <x:v>0</x:v>
      </x:c>
      <x:c r="P27" t="str">
        <x:v>Base</x:v>
      </x:c>
      <x:c r="Q27" t="str">
        <x:v>PREPARADO / VALIDAR</x:v>
      </x:c>
    </x:row>
    <x:row r="28">
      <x:c r="A28" s="26" t="n">
        <x:v>46966</x:v>
      </x:c>
      <x:c r="B28" t="str">
        <x:v>Moto para Todos</x:v>
      </x:c>
      <x:c r="C28" s="7" t="n">
        <x:v>205</x:v>
      </x:c>
      <x:c r="D28" s="24" t="n">
        <x:v>1168903440</x:v>
      </x:c>
      <x:c r="E28" s="24" t="n">
        <x:v>963293324.904</x:v>
      </x:c>
      <x:c r="F28" s="24" t="n">
        <x:v>34850000</x:v>
      </x:c>
      <x:c r="G28" s="24" t="n">
        <x:v>0</x:v>
      </x:c>
      <x:c r="H28" s="24" t="n">
        <x:v>0</x:v>
      </x:c>
      <x:c r="I28" s="24" t="n">
        <x:v>0</x:v>
      </x:c>
      <x:c r="J28" s="24" t="n">
        <x:v>102494926.634266</x:v>
      </x:c>
      <x:c r="K28" s="24" t="n">
        <x:v>90774371.830064</x:v>
      </x:c>
      <x:c r="L28" s="24" t="n">
        <x:v>54382240</x:v>
      </x:c>
      <x:c r="M28" s="24" t="n">
        <x:v>4000000</x:v>
      </x:c>
      <x:c r="N28" s="24" t="n">
        <x:v>67829450.4650706</x:v>
      </x:c>
      <x:c r="O28" s="24" t="n">
        <x:v>0</x:v>
      </x:c>
      <x:c r="P28" t="str">
        <x:v>Base</x:v>
      </x:c>
      <x:c r="Q28" t="str">
        <x:v>PREPARADO / VALIDAR</x:v>
      </x:c>
    </x:row>
    <x:row r="29">
      <x:c r="A29" s="26" t="n">
        <x:v>46997</x:v>
      </x:c>
      <x:c r="B29" t="str">
        <x:v>Moto para Todos</x:v>
      </x:c>
      <x:c r="C29" s="7" t="n">
        <x:v>205</x:v>
      </x:c>
      <x:c r="D29" s="24" t="n">
        <x:v>1168903440</x:v>
      </x:c>
      <x:c r="E29" s="24" t="n">
        <x:v>963293324.904</x:v>
      </x:c>
      <x:c r="F29" s="24" t="n">
        <x:v>34850000</x:v>
      </x:c>
      <x:c r="G29" s="24" t="n">
        <x:v>0</x:v>
      </x:c>
      <x:c r="H29" s="24" t="n">
        <x:v>0</x:v>
      </x:c>
      <x:c r="I29" s="24" t="n">
        <x:v>0</x:v>
      </x:c>
      <x:c r="J29" s="24" t="n">
        <x:v>105319304.691171</x:v>
      </x:c>
      <x:c r="K29" s="24" t="n">
        <x:v>90774371.830064</x:v>
      </x:c>
      <x:c r="L29" s="24" t="n">
        <x:v>54382240</x:v>
      </x:c>
      <x:c r="M29" s="24" t="n">
        <x:v>4000000</x:v>
      </x:c>
      <x:c r="N29" s="24" t="n">
        <x:v>68817982.7849875</x:v>
      </x:c>
      <x:c r="O29" s="24" t="n">
        <x:v>0</x:v>
      </x:c>
      <x:c r="P29" t="str">
        <x:v>Base</x:v>
      </x:c>
      <x:c r="Q29" t="str">
        <x:v>PREPARADO / VALIDAR</x:v>
      </x:c>
    </x:row>
    <x:row r="30">
      <x:c r="A30" s="26" t="n">
        <x:v>47027</x:v>
      </x:c>
      <x:c r="B30" t="str">
        <x:v>Moto para Todos</x:v>
      </x:c>
      <x:c r="C30" s="7" t="n">
        <x:v>205</x:v>
      </x:c>
      <x:c r="D30" s="24" t="n">
        <x:v>1168903440</x:v>
      </x:c>
      <x:c r="E30" s="24" t="n">
        <x:v>963293324.904</x:v>
      </x:c>
      <x:c r="F30" s="24" t="n">
        <x:v>34850000</x:v>
      </x:c>
      <x:c r="G30" s="24" t="n">
        <x:v>0</x:v>
      </x:c>
      <x:c r="H30" s="24" t="n">
        <x:v>0</x:v>
      </x:c>
      <x:c r="I30" s="24" t="n">
        <x:v>0</x:v>
      </x:c>
      <x:c r="J30" s="24" t="n">
        <x:v>108026000.329039</x:v>
      </x:c>
      <x:c r="K30" s="24" t="n">
        <x:v>90774371.830064</x:v>
      </x:c>
      <x:c r="L30" s="24" t="n">
        <x:v>54382240</x:v>
      </x:c>
      <x:c r="M30" s="24" t="n">
        <x:v>4000000</x:v>
      </x:c>
      <x:c r="N30" s="24" t="n">
        <x:v>69765326.2582413</x:v>
      </x:c>
      <x:c r="O30" s="24" t="n">
        <x:v>0</x:v>
      </x:c>
      <x:c r="P30" t="str">
        <x:v>Base</x:v>
      </x:c>
      <x:c r="Q30" t="str">
        <x:v>PREPARADO / VALIDAR</x:v>
      </x:c>
    </x:row>
    <x:row r="31">
      <x:c r="A31" s="26" t="n">
        <x:v>47058</x:v>
      </x:c>
      <x:c r="B31" t="str">
        <x:v>Moto para Todos</x:v>
      </x:c>
      <x:c r="C31" s="7" t="n">
        <x:v>205</x:v>
      </x:c>
      <x:c r="D31" s="24" t="n">
        <x:v>1168903440</x:v>
      </x:c>
      <x:c r="E31" s="24" t="n">
        <x:v>963293324.904</x:v>
      </x:c>
      <x:c r="F31" s="24" t="n">
        <x:v>34850000</x:v>
      </x:c>
      <x:c r="G31" s="24" t="n">
        <x:v>0</x:v>
      </x:c>
      <x:c r="H31" s="24" t="n">
        <x:v>0</x:v>
      </x:c>
      <x:c r="I31" s="24" t="n">
        <x:v>0</x:v>
      </x:c>
      <x:c r="J31" s="24" t="n">
        <x:v>110619916.981996</x:v>
      </x:c>
      <x:c r="K31" s="24" t="n">
        <x:v>90774371.830064</x:v>
      </x:c>
      <x:c r="L31" s="24" t="n">
        <x:v>54382240</x:v>
      </x:c>
      <x:c r="M31" s="24" t="n">
        <x:v>4000000</x:v>
      </x:c>
      <x:c r="N31" s="24" t="n">
        <x:v>70673197.0867761</x:v>
      </x:c>
      <x:c r="O31" s="24" t="n">
        <x:v>0</x:v>
      </x:c>
      <x:c r="P31" t="str">
        <x:v>Base</x:v>
      </x:c>
      <x:c r="Q31" t="str">
        <x:v>PREPARADO / VALIDAR</x:v>
      </x:c>
    </x:row>
    <x:row r="32">
      <x:c r="A32" s="26" t="n">
        <x:v>47088</x:v>
      </x:c>
      <x:c r="B32" t="str">
        <x:v>Moto para Todos</x:v>
      </x:c>
      <x:c r="C32" s="7" t="n">
        <x:v>205</x:v>
      </x:c>
      <x:c r="D32" s="24" t="n">
        <x:v>1168903440</x:v>
      </x:c>
      <x:c r="E32" s="24" t="n">
        <x:v>963293324.904</x:v>
      </x:c>
      <x:c r="F32" s="24" t="n">
        <x:v>34850000</x:v>
      </x:c>
      <x:c r="G32" s="24" t="n">
        <x:v>0</x:v>
      </x:c>
      <x:c r="H32" s="24" t="n">
        <x:v>0</x:v>
      </x:c>
      <x:c r="I32" s="24" t="n">
        <x:v>0</x:v>
      </x:c>
      <x:c r="J32" s="24" t="n">
        <x:v>113105753.774413</x:v>
      </x:c>
      <x:c r="K32" s="24" t="n">
        <x:v>90774371.830064</x:v>
      </x:c>
      <x:c r="L32" s="24" t="n">
        <x:v>54382240</x:v>
      </x:c>
      <x:c r="M32" s="24" t="n">
        <x:v>4000000</x:v>
      </x:c>
      <x:c r="N32" s="24" t="n">
        <x:v>71543239.964122</x:v>
      </x:c>
      <x:c r="O32" s="24" t="n">
        <x:v>0</x:v>
      </x:c>
      <x:c r="P32" t="str">
        <x:v>Base</x:v>
      </x:c>
      <x:c r="Q32" t="str">
        <x:v>PREPARADO / VALIDAR</x:v>
      </x:c>
    </x:row>
    <x:row r="33">
      <x:c r="A33" s="26" t="n">
        <x:v>46266</x:v>
      </x:c>
      <x:c r="B33" t="str">
        <x:v>Verificarte</x:v>
      </x:c>
      <x:c r="C33" s="7" t="n">
        <x:v>161.833</x:v>
      </x:c>
      <x:c r="D33" s="24" t="n">
        <x:v>1509507502.979</x:v>
      </x:c>
      <x:c r="E33" s="24" t="n">
        <x:v>1260438764.98747</x:v>
      </x:c>
      <x:c r="F33" s="24" t="n">
        <x:v>20358591.4</x:v>
      </x:c>
      <x:c r="G33" s="24" t="n">
        <x:v>0</x:v>
      </x:c>
      <x:c r="H33" s="24" t="n">
        <x:v>0</x:v>
      </x:c>
      <x:c r="I33" s="24" t="n">
        <x:v>0</x:v>
      </x:c>
      <x:c r="J33" s="24" t="n">
        <x:v>0</x:v>
      </x:c>
      <x:c r="K33" s="24" t="n">
        <x:v>73089161.6281478</x:v>
      </x:c>
      <x:c r="L33" s="24" t="n">
        <x:v>71000000</x:v>
      </x:c>
      <x:c r="M33" s="24" t="n">
        <x:v>4000000</x:v>
      </x:c>
      <x:c r="N33" s="24" t="n">
        <x:v>42468358.7171856</x:v>
      </x:c>
      <x:c r="O33" s="24" t="n">
        <x:v>0</x:v>
      </x:c>
      <x:c r="P33" t="str">
        <x:v>Base</x:v>
      </x:c>
      <x:c r="Q33" t="str">
        <x:v>PREPARADO / VALIDAR</x:v>
      </x:c>
    </x:row>
    <x:row r="34">
      <x:c r="A34" s="26" t="n">
        <x:v>46296</x:v>
      </x:c>
      <x:c r="B34" t="str">
        <x:v>Verificarte</x:v>
      </x:c>
      <x:c r="C34" s="7" t="n">
        <x:v>165.164538461538</x:v>
      </x:c>
      <x:c r="D34" s="24" t="n">
        <x:v>1540582637.86592</x:v>
      </x:c>
      <x:c r="E34" s="24" t="n">
        <x:v>1286386502.61805</x:v>
      </x:c>
      <x:c r="F34" s="24" t="n">
        <x:v>20777698.9384615</x:v>
      </x:c>
      <x:c r="G34" s="24" t="n">
        <x:v>0</x:v>
      </x:c>
      <x:c r="H34" s="24" t="n">
        <x:v>0</x:v>
      </x:c>
      <x:c r="I34" s="24" t="n">
        <x:v>0</x:v>
      </x:c>
      <x:c r="J34" s="24" t="n">
        <x:v>0</x:v>
      </x:c>
      <x:c r="K34" s="24" t="n">
        <x:v>73089161.6281478</x:v>
      </x:c>
      <x:c r="L34" s="24" t="n">
        <x:v>71000000</x:v>
      </x:c>
      <x:c r="M34" s="24" t="n">
        <x:v>4000000</x:v>
      </x:c>
      <x:c r="N34" s="24" t="n">
        <x:v>44409635.3953669</x:v>
      </x:c>
      <x:c r="O34" s="24" t="n">
        <x:v>0</x:v>
      </x:c>
      <x:c r="P34" t="str">
        <x:v>Base</x:v>
      </x:c>
      <x:c r="Q34" t="str">
        <x:v>PREPARADO / VALIDAR</x:v>
      </x:c>
    </x:row>
    <x:row r="35">
      <x:c r="A35" s="26" t="n">
        <x:v>46327</x:v>
      </x:c>
      <x:c r="B35" t="str">
        <x:v>Verificarte</x:v>
      </x:c>
      <x:c r="C35" s="7" t="n">
        <x:v>168.607128205128</x:v>
      </x:c>
      <x:c r="D35" s="24" t="n">
        <x:v>1572693610.58241</x:v>
      </x:c>
      <x:c r="E35" s="24" t="n">
        <x:v>1313199164.83631</x:v>
      </x:c>
      <x:c r="F35" s="24" t="n">
        <x:v>21210776.7282051</x:v>
      </x:c>
      <x:c r="G35" s="24" t="n">
        <x:v>0</x:v>
      </x:c>
      <x:c r="H35" s="24" t="n">
        <x:v>0</x:v>
      </x:c>
      <x:c r="I35" s="24" t="n">
        <x:v>0</x:v>
      </x:c>
      <x:c r="J35" s="24" t="n">
        <x:v>0</x:v>
      </x:c>
      <x:c r="K35" s="24" t="n">
        <x:v>73089161.6281478</x:v>
      </x:c>
      <x:c r="L35" s="24" t="n">
        <x:v>71000000</x:v>
      </x:c>
      <x:c r="M35" s="24" t="n">
        <x:v>4000000</x:v>
      </x:c>
      <x:c r="N35" s="24" t="n">
        <x:v>46415621.2961543</x:v>
      </x:c>
      <x:c r="O35" s="24" t="n">
        <x:v>0</x:v>
      </x:c>
      <x:c r="P35" t="str">
        <x:v>Base</x:v>
      </x:c>
      <x:c r="Q35" t="str">
        <x:v>PREPARADO / VALIDAR</x:v>
      </x:c>
    </x:row>
    <x:row r="36">
      <x:c r="A36" s="26" t="n">
        <x:v>46357</x:v>
      </x:c>
      <x:c r="B36" t="str">
        <x:v>Verificarte</x:v>
      </x:c>
      <x:c r="C36" s="7" t="n">
        <x:v>171.938666666667</x:v>
      </x:c>
      <x:c r="D36" s="24" t="n">
        <x:v>1603768745.46933</x:v>
      </x:c>
      <x:c r="E36" s="24" t="n">
        <x:v>1339146902.46689</x:v>
      </x:c>
      <x:c r="F36" s="24" t="n">
        <x:v>21629884.2666667</x:v>
      </x:c>
      <x:c r="G36" s="24" t="n">
        <x:v>0</x:v>
      </x:c>
      <x:c r="H36" s="24" t="n">
        <x:v>0</x:v>
      </x:c>
      <x:c r="I36" s="24" t="n">
        <x:v>0</x:v>
      </x:c>
      <x:c r="J36" s="24" t="n">
        <x:v>0</x:v>
      </x:c>
      <x:c r="K36" s="24" t="n">
        <x:v>73089161.6281478</x:v>
      </x:c>
      <x:c r="L36" s="24" t="n">
        <x:v>71000000</x:v>
      </x:c>
      <x:c r="M36" s="24" t="n">
        <x:v>4000000</x:v>
      </x:c>
      <x:c r="N36" s="24" t="n">
        <x:v>48356897.9743357</x:v>
      </x:c>
      <x:c r="O36" s="24" t="n">
        <x:v>0</x:v>
      </x:c>
      <x:c r="P36" t="str">
        <x:v>Base</x:v>
      </x:c>
      <x:c r="Q36" t="str">
        <x:v>PREPARADO / VALIDAR</x:v>
      </x:c>
    </x:row>
    <x:row r="37">
      <x:c r="A37" s="26" t="n">
        <x:v>46388</x:v>
      </x:c>
      <x:c r="B37" t="str">
        <x:v>Verificarte</x:v>
      </x:c>
      <x:c r="C37" s="7" t="n">
        <x:v>175.381256410256</x:v>
      </x:c>
      <x:c r="D37" s="24" t="n">
        <x:v>1635879718.18582</x:v>
      </x:c>
      <x:c r="E37" s="24" t="n">
        <x:v>1365959564.68516</x:v>
      </x:c>
      <x:c r="F37" s="24" t="n">
        <x:v>22062962.0564103</x:v>
      </x:c>
      <x:c r="G37" s="24" t="n">
        <x:v>0</x:v>
      </x:c>
      <x:c r="H37" s="24" t="n">
        <x:v>0</x:v>
      </x:c>
      <x:c r="I37" s="24" t="n">
        <x:v>0</x:v>
      </x:c>
      <x:c r="J37" s="24" t="n">
        <x:v>0</x:v>
      </x:c>
      <x:c r="K37" s="24" t="n">
        <x:v>73089161.6281478</x:v>
      </x:c>
      <x:c r="L37" s="24" t="n">
        <x:v>75260000</x:v>
      </x:c>
      <x:c r="M37" s="24" t="n">
        <x:v>4000000</x:v>
      </x:c>
      <x:c r="N37" s="24" t="n">
        <x:v>48871883.875123</x:v>
      </x:c>
      <x:c r="O37" s="24" t="n">
        <x:v>0</x:v>
      </x:c>
      <x:c r="P37" t="str">
        <x:v>Base</x:v>
      </x:c>
      <x:c r="Q37" t="str">
        <x:v>PREPARADO / VALIDAR</x:v>
      </x:c>
    </x:row>
    <x:row r="38">
      <x:c r="A38" s="26" t="n">
        <x:v>46419</x:v>
      </x:c>
      <x:c r="B38" t="str">
        <x:v>Verificarte</x:v>
      </x:c>
      <x:c r="C38" s="7" t="n">
        <x:v>178.823846153846</x:v>
      </x:c>
      <x:c r="D38" s="24" t="n">
        <x:v>1667990690.90231</x:v>
      </x:c>
      <x:c r="E38" s="24" t="n">
        <x:v>1392772226.90343</x:v>
      </x:c>
      <x:c r="F38" s="24" t="n">
        <x:v>22496039.8461538</x:v>
      </x:c>
      <x:c r="G38" s="24" t="n">
        <x:v>0</x:v>
      </x:c>
      <x:c r="H38" s="24" t="n">
        <x:v>0</x:v>
      </x:c>
      <x:c r="I38" s="24" t="n">
        <x:v>0</x:v>
      </x:c>
      <x:c r="J38" s="24" t="n">
        <x:v>0</x:v>
      </x:c>
      <x:c r="K38" s="24" t="n">
        <x:v>73089161.6281478</x:v>
      </x:c>
      <x:c r="L38" s="24" t="n">
        <x:v>75260000</x:v>
      </x:c>
      <x:c r="M38" s="24" t="n">
        <x:v>4000000</x:v>
      </x:c>
      <x:c r="N38" s="24" t="n">
        <x:v>50877869.7759104</x:v>
      </x:c>
      <x:c r="O38" s="24" t="n">
        <x:v>0</x:v>
      </x:c>
      <x:c r="P38" t="str">
        <x:v>Base</x:v>
      </x:c>
      <x:c r="Q38" t="str">
        <x:v>PREPARADO / VALIDAR</x:v>
      </x:c>
    </x:row>
    <x:row r="39">
      <x:c r="A39" s="26" t="n">
        <x:v>46447</x:v>
      </x:c>
      <x:c r="B39" t="str">
        <x:v>Verificarte</x:v>
      </x:c>
      <x:c r="C39" s="7" t="n">
        <x:v>181.933282051282</x:v>
      </x:c>
      <x:c r="D39" s="24" t="n">
        <x:v>1696994150.1301</x:v>
      </x:c>
      <x:c r="E39" s="24" t="n">
        <x:v>1416990115.35864</x:v>
      </x:c>
      <x:c r="F39" s="24" t="n">
        <x:v>22887206.8820513</x:v>
      </x:c>
      <x:c r="G39" s="24" t="n">
        <x:v>0</x:v>
      </x:c>
      <x:c r="H39" s="24" t="n">
        <x:v>0</x:v>
      </x:c>
      <x:c r="I39" s="24" t="n">
        <x:v>0</x:v>
      </x:c>
      <x:c r="J39" s="24" t="n">
        <x:v>0</x:v>
      </x:c>
      <x:c r="K39" s="24" t="n">
        <x:v>73089161.6281478</x:v>
      </x:c>
      <x:c r="L39" s="24" t="n">
        <x:v>75260000</x:v>
      </x:c>
      <x:c r="M39" s="24" t="n">
        <x:v>4000000</x:v>
      </x:c>
      <x:c r="N39" s="24" t="n">
        <x:v>52689728.0088797</x:v>
      </x:c>
      <x:c r="O39" s="24" t="n">
        <x:v>0</x:v>
      </x:c>
      <x:c r="P39" t="str">
        <x:v>Base</x:v>
      </x:c>
      <x:c r="Q39" t="str">
        <x:v>PREPARADO / VALIDAR</x:v>
      </x:c>
    </x:row>
    <x:row r="40">
      <x:c r="A40" s="26" t="n">
        <x:v>46478</x:v>
      </x:c>
      <x:c r="B40" t="str">
        <x:v>Verificarte</x:v>
      </x:c>
      <x:c r="C40" s="7" t="n">
        <x:v>185.375871794872</x:v>
      </x:c>
      <x:c r="D40" s="24" t="n">
        <x:v>1729105122.84659</x:v>
      </x:c>
      <x:c r="E40" s="24" t="n">
        <x:v>1443802777.5769</x:v>
      </x:c>
      <x:c r="F40" s="24" t="n">
        <x:v>23320284.6717949</x:v>
      </x:c>
      <x:c r="G40" s="24" t="n">
        <x:v>0</x:v>
      </x:c>
      <x:c r="H40" s="24" t="n">
        <x:v>0</x:v>
      </x:c>
      <x:c r="I40" s="24" t="n">
        <x:v>0</x:v>
      </x:c>
      <x:c r="J40" s="24" t="n">
        <x:v>0</x:v>
      </x:c>
      <x:c r="K40" s="24" t="n">
        <x:v>73089161.6281478</x:v>
      </x:c>
      <x:c r="L40" s="24" t="n">
        <x:v>75260000</x:v>
      </x:c>
      <x:c r="M40" s="24" t="n">
        <x:v>4000000</x:v>
      </x:c>
      <x:c r="N40" s="24" t="n">
        <x:v>54695713.9096671</x:v>
      </x:c>
      <x:c r="O40" s="24" t="n">
        <x:v>0</x:v>
      </x:c>
      <x:c r="P40" t="str">
        <x:v>Base</x:v>
      </x:c>
      <x:c r="Q40" t="str">
        <x:v>PREPARADO / VALIDAR</x:v>
      </x:c>
    </x:row>
    <x:row r="41">
      <x:c r="A41" s="26" t="n">
        <x:v>46508</x:v>
      </x:c>
      <x:c r="B41" t="str">
        <x:v>Verificarte</x:v>
      </x:c>
      <x:c r="C41" s="7" t="n">
        <x:v>188.70741025641</x:v>
      </x:c>
      <x:c r="D41" s="24" t="n">
        <x:v>1760180257.73351</x:v>
      </x:c>
      <x:c r="E41" s="24" t="n">
        <x:v>1469750515.20748</x:v>
      </x:c>
      <x:c r="F41" s="24" t="n">
        <x:v>23739392.2102564</x:v>
      </x:c>
      <x:c r="G41" s="24" t="n">
        <x:v>0</x:v>
      </x:c>
      <x:c r="H41" s="24" t="n">
        <x:v>0</x:v>
      </x:c>
      <x:c r="I41" s="24" t="n">
        <x:v>0</x:v>
      </x:c>
      <x:c r="J41" s="24" t="n">
        <x:v>0</x:v>
      </x:c>
      <x:c r="K41" s="24" t="n">
        <x:v>73089161.6281478</x:v>
      </x:c>
      <x:c r="L41" s="24" t="n">
        <x:v>75260000</x:v>
      </x:c>
      <x:c r="M41" s="24" t="n">
        <x:v>4000000</x:v>
      </x:c>
      <x:c r="N41" s="24" t="n">
        <x:v>56636990.5878484</x:v>
      </x:c>
      <x:c r="O41" s="24" t="n">
        <x:v>0</x:v>
      </x:c>
      <x:c r="P41" t="str">
        <x:v>Base</x:v>
      </x:c>
      <x:c r="Q41" t="str">
        <x:v>PREPARADO / VALIDAR</x:v>
      </x:c>
    </x:row>
    <x:row r="42">
      <x:c r="A42" s="26" t="n">
        <x:v>46539</x:v>
      </x:c>
      <x:c r="B42" t="str">
        <x:v>Verificarte</x:v>
      </x:c>
      <x:c r="C42" s="7" t="n">
        <x:v>192.15</x:v>
      </x:c>
      <x:c r="D42" s="24" t="n">
        <x:v>1792291230.45</x:v>
      </x:c>
      <x:c r="E42" s="24" t="n">
        <x:v>1496563177.42575</x:v>
      </x:c>
      <x:c r="F42" s="24" t="n">
        <x:v>24172470</x:v>
      </x:c>
      <x:c r="G42" s="24" t="n">
        <x:v>0</x:v>
      </x:c>
      <x:c r="H42" s="24" t="n">
        <x:v>0</x:v>
      </x:c>
      <x:c r="I42" s="24" t="n">
        <x:v>0</x:v>
      </x:c>
      <x:c r="J42" s="24" t="n">
        <x:v>0</x:v>
      </x:c>
      <x:c r="K42" s="24" t="n">
        <x:v>73089161.6281478</x:v>
      </x:c>
      <x:c r="L42" s="24" t="n">
        <x:v>75260000</x:v>
      </x:c>
      <x:c r="M42" s="24" t="n">
        <x:v>4000000</x:v>
      </x:c>
      <x:c r="N42" s="24" t="n">
        <x:v>58642976.4886358</x:v>
      </x:c>
      <x:c r="O42" s="24" t="n">
        <x:v>0</x:v>
      </x:c>
      <x:c r="P42" t="str">
        <x:v>Base</x:v>
      </x:c>
      <x:c r="Q42" t="str">
        <x:v>PREPARADO / VALIDAR</x:v>
      </x:c>
    </x:row>
    <x:row r="43">
      <x:c r="A43" s="26" t="n">
        <x:v>46569</x:v>
      </x:c>
      <x:c r="B43" t="str">
        <x:v>Verificarte</x:v>
      </x:c>
      <x:c r="C43" s="7" t="n">
        <x:v>195.65</x:v>
      </x:c>
      <x:c r="D43" s="24" t="n">
        <x:v>1824937700.95</x:v>
      </x:c>
      <x:c r="E43" s="24" t="n">
        <x:v>1523822980.29325</x:v>
      </x:c>
      <x:c r="F43" s="24" t="n">
        <x:v>24612770</x:v>
      </x:c>
      <x:c r="G43" s="24" t="n">
        <x:v>0</x:v>
      </x:c>
      <x:c r="H43" s="24" t="n">
        <x:v>0</x:v>
      </x:c>
      <x:c r="I43" s="24" t="n">
        <x:v>0</x:v>
      </x:c>
      <x:c r="J43" s="24" t="n">
        <x:v>0</x:v>
      </x:c>
      <x:c r="K43" s="24" t="n">
        <x:v>73089161.6281478</x:v>
      </x:c>
      <x:c r="L43" s="24" t="n">
        <x:v>75260000</x:v>
      </x:c>
      <x:c r="M43" s="24" t="n">
        <x:v>4000000</x:v>
      </x:c>
      <x:c r="N43" s="24" t="n">
        <x:v>60682415.1600108</x:v>
      </x:c>
      <x:c r="O43" s="24" t="n">
        <x:v>0</x:v>
      </x:c>
      <x:c r="P43" t="str">
        <x:v>Base</x:v>
      </x:c>
      <x:c r="Q43" t="str">
        <x:v>PREPARADO / VALIDAR</x:v>
      </x:c>
    </x:row>
    <x:row r="44">
      <x:c r="A44" s="26" t="n">
        <x:v>46600</x:v>
      </x:c>
      <x:c r="B44" t="str">
        <x:v>Verificarte</x:v>
      </x:c>
      <x:c r="C44" s="7" t="n">
        <x:v>199.266666666667</x:v>
      </x:c>
      <x:c r="D44" s="24" t="n">
        <x:v>1858672387.13333</x:v>
      </x:c>
      <x:c r="E44" s="24" t="n">
        <x:v>1551991443.25633</x:v>
      </x:c>
      <x:c r="F44" s="24" t="n">
        <x:v>25067746.6666667</x:v>
      </x:c>
      <x:c r="G44" s="24" t="n">
        <x:v>0</x:v>
      </x:c>
      <x:c r="H44" s="24" t="n">
        <x:v>0</x:v>
      </x:c>
      <x:c r="I44" s="24" t="n">
        <x:v>0</x:v>
      </x:c>
      <x:c r="J44" s="24" t="n">
        <x:v>0</x:v>
      </x:c>
      <x:c r="K44" s="24" t="n">
        <x:v>73089161.6281478</x:v>
      </x:c>
      <x:c r="L44" s="24" t="n">
        <x:v>75260000</x:v>
      </x:c>
      <x:c r="M44" s="24" t="n">
        <x:v>4000000</x:v>
      </x:c>
      <x:c r="N44" s="24" t="n">
        <x:v>62789835.1204317</x:v>
      </x:c>
      <x:c r="O44" s="24" t="n">
        <x:v>0</x:v>
      </x:c>
      <x:c r="P44" t="str">
        <x:v>Base</x:v>
      </x:c>
      <x:c r="Q44" t="str">
        <x:v>PREPARADO / VALIDAR</x:v>
      </x:c>
    </x:row>
    <x:row r="45">
      <x:c r="A45" s="26" t="n">
        <x:v>46631</x:v>
      </x:c>
      <x:c r="B45" t="str">
        <x:v>Verificarte</x:v>
      </x:c>
      <x:c r="C45" s="7" t="n">
        <x:v>202.883333333333</x:v>
      </x:c>
      <x:c r="D45" s="24" t="n">
        <x:v>1892407073.31667</x:v>
      </x:c>
      <x:c r="E45" s="24" t="n">
        <x:v>1580159906.21942</x:v>
      </x:c>
      <x:c r="F45" s="24" t="n">
        <x:v>25522723.3333333</x:v>
      </x:c>
      <x:c r="G45" s="24" t="n">
        <x:v>0</x:v>
      </x:c>
      <x:c r="H45" s="24" t="n">
        <x:v>0</x:v>
      </x:c>
      <x:c r="I45" s="24" t="n">
        <x:v>0</x:v>
      </x:c>
      <x:c r="J45" s="24" t="n">
        <x:v>0</x:v>
      </x:c>
      <x:c r="K45" s="24" t="n">
        <x:v>73089161.6281478</x:v>
      </x:c>
      <x:c r="L45" s="24" t="n">
        <x:v>75260000</x:v>
      </x:c>
      <x:c r="M45" s="24" t="n">
        <x:v>4000000</x:v>
      </x:c>
      <x:c r="N45" s="24" t="n">
        <x:v>64897255.0808524</x:v>
      </x:c>
      <x:c r="O45" s="24" t="n">
        <x:v>0</x:v>
      </x:c>
      <x:c r="P45" t="str">
        <x:v>Base</x:v>
      </x:c>
      <x:c r="Q45" t="str">
        <x:v>PREPARADO / VALIDAR</x:v>
      </x:c>
    </x:row>
    <x:row r="46">
      <x:c r="A46" s="26" t="n">
        <x:v>46661</x:v>
      </x:c>
      <x:c r="B46" t="str">
        <x:v>Verificarte</x:v>
      </x:c>
      <x:c r="C46" s="7" t="n">
        <x:v>206.383333333333</x:v>
      </x:c>
      <x:c r="D46" s="24" t="n">
        <x:v>1925053543.81667</x:v>
      </x:c>
      <x:c r="E46" s="24" t="n">
        <x:v>1607419709.08692</x:v>
      </x:c>
      <x:c r="F46" s="24" t="n">
        <x:v>25963023.3333333</x:v>
      </x:c>
      <x:c r="G46" s="24" t="n">
        <x:v>0</x:v>
      </x:c>
      <x:c r="H46" s="24" t="n">
        <x:v>0</x:v>
      </x:c>
      <x:c r="I46" s="24" t="n">
        <x:v>0</x:v>
      </x:c>
      <x:c r="J46" s="24" t="n">
        <x:v>0</x:v>
      </x:c>
      <x:c r="K46" s="24" t="n">
        <x:v>73089161.6281478</x:v>
      </x:c>
      <x:c r="L46" s="24" t="n">
        <x:v>75260000</x:v>
      </x:c>
      <x:c r="M46" s="24" t="n">
        <x:v>4000000</x:v>
      </x:c>
      <x:c r="N46" s="24" t="n">
        <x:v>66936693.7522275</x:v>
      </x:c>
      <x:c r="O46" s="24" t="n">
        <x:v>0</x:v>
      </x:c>
      <x:c r="P46" t="str">
        <x:v>Base</x:v>
      </x:c>
      <x:c r="Q46" t="str">
        <x:v>PREPARADO / VALIDAR</x:v>
      </x:c>
    </x:row>
    <x:row r="47">
      <x:c r="A47" s="26" t="n">
        <x:v>46692</x:v>
      </x:c>
      <x:c r="B47" t="str">
        <x:v>Verificarte</x:v>
      </x:c>
      <x:c r="C47" s="7" t="n">
        <x:v>210</x:v>
      </x:c>
      <x:c r="D47" s="24" t="n">
        <x:v>1958788230</x:v>
      </x:c>
      <x:c r="E47" s="24" t="n">
        <x:v>1635588172.05</x:v>
      </x:c>
      <x:c r="F47" s="24" t="n">
        <x:v>26418000</x:v>
      </x:c>
      <x:c r="G47" s="24" t="n">
        <x:v>0</x:v>
      </x:c>
      <x:c r="H47" s="24" t="n">
        <x:v>0</x:v>
      </x:c>
      <x:c r="I47" s="24" t="n">
        <x:v>0</x:v>
      </x:c>
      <x:c r="J47" s="24" t="n">
        <x:v>0</x:v>
      </x:c>
      <x:c r="K47" s="24" t="n">
        <x:v>73089161.6281478</x:v>
      </x:c>
      <x:c r="L47" s="24" t="n">
        <x:v>75260000</x:v>
      </x:c>
      <x:c r="M47" s="24" t="n">
        <x:v>4000000</x:v>
      </x:c>
      <x:c r="N47" s="24" t="n">
        <x:v>69044113.7126483</x:v>
      </x:c>
      <x:c r="O47" s="24" t="n">
        <x:v>0</x:v>
      </x:c>
      <x:c r="P47" t="str">
        <x:v>Base</x:v>
      </x:c>
      <x:c r="Q47" t="str">
        <x:v>PREPARADO / VALIDAR</x:v>
      </x:c>
    </x:row>
    <x:row r="48">
      <x:c r="A48" s="26" t="n">
        <x:v>46722</x:v>
      </x:c>
      <x:c r="B48" t="str">
        <x:v>Verificarte</x:v>
      </x:c>
      <x:c r="C48" s="7" t="n">
        <x:v>213.5</x:v>
      </x:c>
      <x:c r="D48" s="24" t="n">
        <x:v>1991434700.5</x:v>
      </x:c>
      <x:c r="E48" s="24" t="n">
        <x:v>1662847974.9175</x:v>
      </x:c>
      <x:c r="F48" s="24" t="n">
        <x:v>26858300</x:v>
      </x:c>
      <x:c r="G48" s="24" t="n">
        <x:v>0</x:v>
      </x:c>
      <x:c r="H48" s="24" t="n">
        <x:v>0</x:v>
      </x:c>
      <x:c r="I48" s="24" t="n">
        <x:v>0</x:v>
      </x:c>
      <x:c r="J48" s="24" t="n">
        <x:v>0</x:v>
      </x:c>
      <x:c r="K48" s="24" t="n">
        <x:v>73089161.6281478</x:v>
      </x:c>
      <x:c r="L48" s="24" t="n">
        <x:v>75260000</x:v>
      </x:c>
      <x:c r="M48" s="24" t="n">
        <x:v>4000000</x:v>
      </x:c>
      <x:c r="N48" s="24" t="n">
        <x:v>71083552.3840234</x:v>
      </x:c>
      <x:c r="O48" s="24" t="n">
        <x:v>0</x:v>
      </x:c>
      <x:c r="P48" t="str">
        <x:v>Base</x:v>
      </x:c>
      <x:c r="Q48" t="str">
        <x:v>PREPARADO / VALIDAR</x:v>
      </x:c>
    </x:row>
    <x:row r="49">
      <x:c r="A49" s="26" t="n">
        <x:v>46753</x:v>
      </x:c>
      <x:c r="B49" t="str">
        <x:v>Verificarte</x:v>
      </x:c>
      <x:c r="C49" s="7" t="n">
        <x:v>213.5</x:v>
      </x:c>
      <x:c r="D49" s="24" t="n">
        <x:v>1991434700.5</x:v>
      </x:c>
      <x:c r="E49" s="24" t="n">
        <x:v>1662847974.9175</x:v>
      </x:c>
      <x:c r="F49" s="24" t="n">
        <x:v>26858300</x:v>
      </x:c>
      <x:c r="G49" s="24" t="n">
        <x:v>0</x:v>
      </x:c>
      <x:c r="H49" s="24" t="n">
        <x:v>0</x:v>
      </x:c>
      <x:c r="I49" s="24" t="n">
        <x:v>0</x:v>
      </x:c>
      <x:c r="J49" s="24" t="n">
        <x:v>0</x:v>
      </x:c>
      <x:c r="K49" s="24" t="n">
        <x:v>73089161.6281478</x:v>
      </x:c>
      <x:c r="L49" s="24" t="n">
        <x:v>79775600</x:v>
      </x:c>
      <x:c r="M49" s="24" t="n">
        <x:v>4000000</x:v>
      </x:c>
      <x:c r="N49" s="24" t="n">
        <x:v>69503092.3840234</x:v>
      </x:c>
      <x:c r="O49" s="24" t="n">
        <x:v>0</x:v>
      </x:c>
      <x:c r="P49" t="str">
        <x:v>Base</x:v>
      </x:c>
      <x:c r="Q49" t="str">
        <x:v>PREPARADO / VALIDAR</x:v>
      </x:c>
    </x:row>
    <x:row r="50">
      <x:c r="A50" s="26" t="n">
        <x:v>46784</x:v>
      </x:c>
      <x:c r="B50" t="str">
        <x:v>Verificarte</x:v>
      </x:c>
      <x:c r="C50" s="7" t="n">
        <x:v>213.5</x:v>
      </x:c>
      <x:c r="D50" s="24" t="n">
        <x:v>1991434700.5</x:v>
      </x:c>
      <x:c r="E50" s="24" t="n">
        <x:v>1662847974.9175</x:v>
      </x:c>
      <x:c r="F50" s="24" t="n">
        <x:v>26858300</x:v>
      </x:c>
      <x:c r="G50" s="24" t="n">
        <x:v>0</x:v>
      </x:c>
      <x:c r="H50" s="24" t="n">
        <x:v>0</x:v>
      </x:c>
      <x:c r="I50" s="24" t="n">
        <x:v>0</x:v>
      </x:c>
      <x:c r="J50" s="24" t="n">
        <x:v>0</x:v>
      </x:c>
      <x:c r="K50" s="24" t="n">
        <x:v>73089161.6281478</x:v>
      </x:c>
      <x:c r="L50" s="24" t="n">
        <x:v>79775600</x:v>
      </x:c>
      <x:c r="M50" s="24" t="n">
        <x:v>4000000</x:v>
      </x:c>
      <x:c r="N50" s="24" t="n">
        <x:v>69503092.3840234</x:v>
      </x:c>
      <x:c r="O50" s="24" t="n">
        <x:v>0</x:v>
      </x:c>
      <x:c r="P50" t="str">
        <x:v>Base</x:v>
      </x:c>
      <x:c r="Q50" t="str">
        <x:v>PREPARADO / VALIDAR</x:v>
      </x:c>
    </x:row>
    <x:row r="51">
      <x:c r="A51" s="26" t="n">
        <x:v>46813</x:v>
      </x:c>
      <x:c r="B51" t="str">
        <x:v>Verificarte</x:v>
      </x:c>
      <x:c r="C51" s="7" t="n">
        <x:v>213.5</x:v>
      </x:c>
      <x:c r="D51" s="24" t="n">
        <x:v>1991434700.5</x:v>
      </x:c>
      <x:c r="E51" s="24" t="n">
        <x:v>1662847974.9175</x:v>
      </x:c>
      <x:c r="F51" s="24" t="n">
        <x:v>26858300</x:v>
      </x:c>
      <x:c r="G51" s="24" t="n">
        <x:v>0</x:v>
      </x:c>
      <x:c r="H51" s="24" t="n">
        <x:v>0</x:v>
      </x:c>
      <x:c r="I51" s="24" t="n">
        <x:v>0</x:v>
      </x:c>
      <x:c r="J51" s="24" t="n">
        <x:v>0</x:v>
      </x:c>
      <x:c r="K51" s="24" t="n">
        <x:v>73089161.6281478</x:v>
      </x:c>
      <x:c r="L51" s="24" t="n">
        <x:v>79775600</x:v>
      </x:c>
      <x:c r="M51" s="24" t="n">
        <x:v>4000000</x:v>
      </x:c>
      <x:c r="N51" s="24" t="n">
        <x:v>69503092.3840234</x:v>
      </x:c>
      <x:c r="O51" s="24" t="n">
        <x:v>0</x:v>
      </x:c>
      <x:c r="P51" t="str">
        <x:v>Base</x:v>
      </x:c>
      <x:c r="Q51" t="str">
        <x:v>PREPARADO / VALIDAR</x:v>
      </x:c>
    </x:row>
    <x:row r="52">
      <x:c r="A52" s="26" t="n">
        <x:v>46844</x:v>
      </x:c>
      <x:c r="B52" t="str">
        <x:v>Verificarte</x:v>
      </x:c>
      <x:c r="C52" s="7" t="n">
        <x:v>213.5</x:v>
      </x:c>
      <x:c r="D52" s="24" t="n">
        <x:v>1991434700.5</x:v>
      </x:c>
      <x:c r="E52" s="24" t="n">
        <x:v>1662847974.9175</x:v>
      </x:c>
      <x:c r="F52" s="24" t="n">
        <x:v>26858300</x:v>
      </x:c>
      <x:c r="G52" s="24" t="n">
        <x:v>0</x:v>
      </x:c>
      <x:c r="H52" s="24" t="n">
        <x:v>0</x:v>
      </x:c>
      <x:c r="I52" s="24" t="n">
        <x:v>0</x:v>
      </x:c>
      <x:c r="J52" s="24" t="n">
        <x:v>0</x:v>
      </x:c>
      <x:c r="K52" s="24" t="n">
        <x:v>73089161.6281478</x:v>
      </x:c>
      <x:c r="L52" s="24" t="n">
        <x:v>79775600</x:v>
      </x:c>
      <x:c r="M52" s="24" t="n">
        <x:v>4000000</x:v>
      </x:c>
      <x:c r="N52" s="24" t="n">
        <x:v>69503092.3840234</x:v>
      </x:c>
      <x:c r="O52" s="24" t="n">
        <x:v>0</x:v>
      </x:c>
      <x:c r="P52" t="str">
        <x:v>Base</x:v>
      </x:c>
      <x:c r="Q52" t="str">
        <x:v>PREPARADO / VALIDAR</x:v>
      </x:c>
    </x:row>
    <x:row r="53">
      <x:c r="A53" s="26" t="n">
        <x:v>46874</x:v>
      </x:c>
      <x:c r="B53" t="str">
        <x:v>Verificarte</x:v>
      </x:c>
      <x:c r="C53" s="7" t="n">
        <x:v>213.5</x:v>
      </x:c>
      <x:c r="D53" s="24" t="n">
        <x:v>1991434700.5</x:v>
      </x:c>
      <x:c r="E53" s="24" t="n">
        <x:v>1662847974.9175</x:v>
      </x:c>
      <x:c r="F53" s="24" t="n">
        <x:v>26858300</x:v>
      </x:c>
      <x:c r="G53" s="24" t="n">
        <x:v>0</x:v>
      </x:c>
      <x:c r="H53" s="24" t="n">
        <x:v>0</x:v>
      </x:c>
      <x:c r="I53" s="24" t="n">
        <x:v>0</x:v>
      </x:c>
      <x:c r="J53" s="24" t="n">
        <x:v>0</x:v>
      </x:c>
      <x:c r="K53" s="24" t="n">
        <x:v>73089161.6281478</x:v>
      </x:c>
      <x:c r="L53" s="24" t="n">
        <x:v>79775600</x:v>
      </x:c>
      <x:c r="M53" s="24" t="n">
        <x:v>4000000</x:v>
      </x:c>
      <x:c r="N53" s="24" t="n">
        <x:v>69503092.3840234</x:v>
      </x:c>
      <x:c r="O53" s="24" t="n">
        <x:v>0</x:v>
      </x:c>
      <x:c r="P53" t="str">
        <x:v>Base</x:v>
      </x:c>
      <x:c r="Q53" t="str">
        <x:v>PREPARADO / VALIDAR</x:v>
      </x:c>
    </x:row>
    <x:row r="54">
      <x:c r="A54" s="26" t="n">
        <x:v>46905</x:v>
      </x:c>
      <x:c r="B54" t="str">
        <x:v>Verificarte</x:v>
      </x:c>
      <x:c r="C54" s="7" t="n">
        <x:v>213.5</x:v>
      </x:c>
      <x:c r="D54" s="24" t="n">
        <x:v>1991434700.5</x:v>
      </x:c>
      <x:c r="E54" s="24" t="n">
        <x:v>1662847974.9175</x:v>
      </x:c>
      <x:c r="F54" s="24" t="n">
        <x:v>26858300</x:v>
      </x:c>
      <x:c r="G54" s="24" t="n">
        <x:v>0</x:v>
      </x:c>
      <x:c r="H54" s="24" t="n">
        <x:v>0</x:v>
      </x:c>
      <x:c r="I54" s="24" t="n">
        <x:v>0</x:v>
      </x:c>
      <x:c r="J54" s="24" t="n">
        <x:v>0</x:v>
      </x:c>
      <x:c r="K54" s="24" t="n">
        <x:v>73089161.6281478</x:v>
      </x:c>
      <x:c r="L54" s="24" t="n">
        <x:v>79775600</x:v>
      </x:c>
      <x:c r="M54" s="24" t="n">
        <x:v>4000000</x:v>
      </x:c>
      <x:c r="N54" s="24" t="n">
        <x:v>69503092.3840234</x:v>
      </x:c>
      <x:c r="O54" s="24" t="n">
        <x:v>0</x:v>
      </x:c>
      <x:c r="P54" t="str">
        <x:v>Base</x:v>
      </x:c>
      <x:c r="Q54" t="str">
        <x:v>PREPARADO / VALIDAR</x:v>
      </x:c>
    </x:row>
    <x:row r="55">
      <x:c r="A55" s="26" t="n">
        <x:v>46935</x:v>
      </x:c>
      <x:c r="B55" t="str">
        <x:v>Verificarte</x:v>
      </x:c>
      <x:c r="C55" s="7" t="n">
        <x:v>213.5</x:v>
      </x:c>
      <x:c r="D55" s="24" t="n">
        <x:v>1991434700.5</x:v>
      </x:c>
      <x:c r="E55" s="24" t="n">
        <x:v>1662847974.9175</x:v>
      </x:c>
      <x:c r="F55" s="24" t="n">
        <x:v>26858300</x:v>
      </x:c>
      <x:c r="G55" s="24" t="n">
        <x:v>0</x:v>
      </x:c>
      <x:c r="H55" s="24" t="n">
        <x:v>0</x:v>
      </x:c>
      <x:c r="I55" s="24" t="n">
        <x:v>0</x:v>
      </x:c>
      <x:c r="J55" s="24" t="n">
        <x:v>0</x:v>
      </x:c>
      <x:c r="K55" s="24" t="n">
        <x:v>73089161.6281478</x:v>
      </x:c>
      <x:c r="L55" s="24" t="n">
        <x:v>79775600</x:v>
      </x:c>
      <x:c r="M55" s="24" t="n">
        <x:v>4000000</x:v>
      </x:c>
      <x:c r="N55" s="24" t="n">
        <x:v>69503092.3840234</x:v>
      </x:c>
      <x:c r="O55" s="24" t="n">
        <x:v>0</x:v>
      </x:c>
      <x:c r="P55" t="str">
        <x:v>Base</x:v>
      </x:c>
      <x:c r="Q55" t="str">
        <x:v>PREPARADO / VALIDAR</x:v>
      </x:c>
    </x:row>
    <x:row r="56">
      <x:c r="A56" s="26" t="n">
        <x:v>46966</x:v>
      </x:c>
      <x:c r="B56" t="str">
        <x:v>Verificarte</x:v>
      </x:c>
      <x:c r="C56" s="7" t="n">
        <x:v>213.5</x:v>
      </x:c>
      <x:c r="D56" s="24" t="n">
        <x:v>1991434700.5</x:v>
      </x:c>
      <x:c r="E56" s="24" t="n">
        <x:v>1662847974.9175</x:v>
      </x:c>
      <x:c r="F56" s="24" t="n">
        <x:v>26858300</x:v>
      </x:c>
      <x:c r="G56" s="24" t="n">
        <x:v>0</x:v>
      </x:c>
      <x:c r="H56" s="24" t="n">
        <x:v>0</x:v>
      </x:c>
      <x:c r="I56" s="24" t="n">
        <x:v>0</x:v>
      </x:c>
      <x:c r="J56" s="24" t="n">
        <x:v>0</x:v>
      </x:c>
      <x:c r="K56" s="24" t="n">
        <x:v>73089161.6281478</x:v>
      </x:c>
      <x:c r="L56" s="24" t="n">
        <x:v>79775600</x:v>
      </x:c>
      <x:c r="M56" s="24" t="n">
        <x:v>4000000</x:v>
      </x:c>
      <x:c r="N56" s="24" t="n">
        <x:v>69503092.3840234</x:v>
      </x:c>
      <x:c r="O56" s="24" t="n">
        <x:v>0</x:v>
      </x:c>
      <x:c r="P56" t="str">
        <x:v>Base</x:v>
      </x:c>
      <x:c r="Q56" t="str">
        <x:v>PREPARADO / VALIDAR</x:v>
      </x:c>
    </x:row>
    <x:row r="57">
      <x:c r="A57" s="26" t="n">
        <x:v>46997</x:v>
      </x:c>
      <x:c r="B57" t="str">
        <x:v>Verificarte</x:v>
      </x:c>
      <x:c r="C57" s="7" t="n">
        <x:v>213.5</x:v>
      </x:c>
      <x:c r="D57" s="24" t="n">
        <x:v>1991434700.5</x:v>
      </x:c>
      <x:c r="E57" s="24" t="n">
        <x:v>1662847974.9175</x:v>
      </x:c>
      <x:c r="F57" s="24" t="n">
        <x:v>26858300</x:v>
      </x:c>
      <x:c r="G57" s="24" t="n">
        <x:v>0</x:v>
      </x:c>
      <x:c r="H57" s="24" t="n">
        <x:v>0</x:v>
      </x:c>
      <x:c r="I57" s="24" t="n">
        <x:v>0</x:v>
      </x:c>
      <x:c r="J57" s="24" t="n">
        <x:v>0</x:v>
      </x:c>
      <x:c r="K57" s="24" t="n">
        <x:v>73089161.6281478</x:v>
      </x:c>
      <x:c r="L57" s="24" t="n">
        <x:v>79775600</x:v>
      </x:c>
      <x:c r="M57" s="24" t="n">
        <x:v>4000000</x:v>
      </x:c>
      <x:c r="N57" s="24" t="n">
        <x:v>69503092.3840234</x:v>
      </x:c>
      <x:c r="O57" s="24" t="n">
        <x:v>0</x:v>
      </x:c>
      <x:c r="P57" t="str">
        <x:v>Base</x:v>
      </x:c>
      <x:c r="Q57" t="str">
        <x:v>PREPARADO / VALIDAR</x:v>
      </x:c>
    </x:row>
    <x:row r="58">
      <x:c r="A58" s="26" t="n">
        <x:v>47027</x:v>
      </x:c>
      <x:c r="B58" t="str">
        <x:v>Verificarte</x:v>
      </x:c>
      <x:c r="C58" s="7" t="n">
        <x:v>213.5</x:v>
      </x:c>
      <x:c r="D58" s="24" t="n">
        <x:v>1991434700.5</x:v>
      </x:c>
      <x:c r="E58" s="24" t="n">
        <x:v>1662847974.9175</x:v>
      </x:c>
      <x:c r="F58" s="24" t="n">
        <x:v>26858300</x:v>
      </x:c>
      <x:c r="G58" s="24" t="n">
        <x:v>0</x:v>
      </x:c>
      <x:c r="H58" s="24" t="n">
        <x:v>0</x:v>
      </x:c>
      <x:c r="I58" s="24" t="n">
        <x:v>0</x:v>
      </x:c>
      <x:c r="J58" s="24" t="n">
        <x:v>0</x:v>
      </x:c>
      <x:c r="K58" s="24" t="n">
        <x:v>73089161.6281478</x:v>
      </x:c>
      <x:c r="L58" s="24" t="n">
        <x:v>79775600</x:v>
      </x:c>
      <x:c r="M58" s="24" t="n">
        <x:v>4000000</x:v>
      </x:c>
      <x:c r="N58" s="24" t="n">
        <x:v>69503092.3840234</x:v>
      </x:c>
      <x:c r="O58" s="24" t="n">
        <x:v>0</x:v>
      </x:c>
      <x:c r="P58" t="str">
        <x:v>Base</x:v>
      </x:c>
      <x:c r="Q58" t="str">
        <x:v>PREPARADO / VALIDAR</x:v>
      </x:c>
    </x:row>
    <x:row r="59">
      <x:c r="A59" s="26" t="n">
        <x:v>47058</x:v>
      </x:c>
      <x:c r="B59" t="str">
        <x:v>Verificarte</x:v>
      </x:c>
      <x:c r="C59" s="7" t="n">
        <x:v>213.5</x:v>
      </x:c>
      <x:c r="D59" s="24" t="n">
        <x:v>1991434700.5</x:v>
      </x:c>
      <x:c r="E59" s="24" t="n">
        <x:v>1662847974.9175</x:v>
      </x:c>
      <x:c r="F59" s="24" t="n">
        <x:v>26858300</x:v>
      </x:c>
      <x:c r="G59" s="24" t="n">
        <x:v>0</x:v>
      </x:c>
      <x:c r="H59" s="24" t="n">
        <x:v>0</x:v>
      </x:c>
      <x:c r="I59" s="24" t="n">
        <x:v>0</x:v>
      </x:c>
      <x:c r="J59" s="24" t="n">
        <x:v>0</x:v>
      </x:c>
      <x:c r="K59" s="24" t="n">
        <x:v>73089161.6281478</x:v>
      </x:c>
      <x:c r="L59" s="24" t="n">
        <x:v>79775600</x:v>
      </x:c>
      <x:c r="M59" s="24" t="n">
        <x:v>4000000</x:v>
      </x:c>
      <x:c r="N59" s="24" t="n">
        <x:v>69503092.3840234</x:v>
      </x:c>
      <x:c r="O59" s="24" t="n">
        <x:v>0</x:v>
      </x:c>
      <x:c r="P59" t="str">
        <x:v>Base</x:v>
      </x:c>
      <x:c r="Q59" t="str">
        <x:v>PREPARADO / VALIDAR</x:v>
      </x:c>
    </x:row>
    <x:row r="60">
      <x:c r="A60" s="26" t="n">
        <x:v>47088</x:v>
      </x:c>
      <x:c r="B60" t="str">
        <x:v>Verificarte</x:v>
      </x:c>
      <x:c r="C60" s="7" t="n">
        <x:v>213.5</x:v>
      </x:c>
      <x:c r="D60" s="24" t="n">
        <x:v>1991434700.5</x:v>
      </x:c>
      <x:c r="E60" s="24" t="n">
        <x:v>1662847974.9175</x:v>
      </x:c>
      <x:c r="F60" s="24" t="n">
        <x:v>26858300</x:v>
      </x:c>
      <x:c r="G60" s="24" t="n">
        <x:v>0</x:v>
      </x:c>
      <x:c r="H60" s="24" t="n">
        <x:v>0</x:v>
      </x:c>
      <x:c r="I60" s="24" t="n">
        <x:v>0</x:v>
      </x:c>
      <x:c r="J60" s="24" t="n">
        <x:v>0</x:v>
      </x:c>
      <x:c r="K60" s="24" t="n">
        <x:v>73089161.6281478</x:v>
      </x:c>
      <x:c r="L60" s="24" t="n">
        <x:v>79775600</x:v>
      </x:c>
      <x:c r="M60" s="24" t="n">
        <x:v>4000000</x:v>
      </x:c>
      <x:c r="N60" s="24" t="n">
        <x:v>69503092.3840234</x:v>
      </x:c>
      <x:c r="O60" s="24" t="n">
        <x:v>0</x:v>
      </x:c>
      <x:c r="P60" t="str">
        <x:v>Base</x:v>
      </x:c>
      <x:c r="Q60" t="str">
        <x:v>PREPARADO / VALIDAR</x:v>
      </x:c>
    </x:row>
    <x:row r="61">
      <x:c r="A61" s="26" t="n">
        <x:v>46266</x:v>
      </x:c>
      <x:c r="B61" t="str">
        <x:v>TuClick</x:v>
      </x:c>
      <x:c r="C61" s="7" t="n">
        <x:v>61.777</x:v>
      </x:c>
      <x:c r="D61" s="24" t="n">
        <x:v>431391694.519</x:v>
      </x:c>
      <x:c r="E61" s="24" t="n">
        <x:v>368883037.983197</x:v>
      </x:c>
      <x:c r="F61" s="24" t="n">
        <x:v>13785537.55</x:v>
      </x:c>
      <x:c r="G61" s="24" t="n">
        <x:v>0</x:v>
      </x:c>
      <x:c r="H61" s="24" t="n">
        <x:v>0</x:v>
      </x:c>
      <x:c r="I61" s="24" t="n">
        <x:v>0</x:v>
      </x:c>
      <x:c r="J61" s="24" t="n">
        <x:v>0</x:v>
      </x:c>
      <x:c r="K61" s="24" t="n">
        <x:v>31865823.5635883</x:v>
      </x:c>
      <x:c r="L61" s="24" t="n">
        <x:v>40000000</x:v>
      </x:c>
      <x:c r="M61" s="24" t="n">
        <x:v>2000000</x:v>
      </x:c>
      <x:c r="N61" s="24" t="n">
        <x:v>849929.68277518</x:v>
      </x:c>
      <x:c r="O61" s="24" t="n">
        <x:v>0</x:v>
      </x:c>
      <x:c r="P61" t="str">
        <x:v>Base</x:v>
      </x:c>
      <x:c r="Q61" t="str">
        <x:v>PREPARADO / VALIDAR</x:v>
      </x:c>
    </x:row>
    <x:row r="62">
      <x:c r="A62" s="26" t="n">
        <x:v>46296</x:v>
      </x:c>
      <x:c r="B62" t="str">
        <x:v>TuClick</x:v>
      </x:c>
      <x:c r="C62" s="7" t="n">
        <x:v>63.0487582417582</x:v>
      </x:c>
      <x:c r="D62" s="24" t="n">
        <x:v>440272442.093835</x:v>
      </x:c>
      <x:c r="E62" s="24" t="n">
        <x:v>376476965.234438</x:v>
      </x:c>
      <x:c r="F62" s="24" t="n">
        <x:v>14069330.4016483</x:v>
      </x:c>
      <x:c r="G62" s="24" t="n">
        <x:v>0</x:v>
      </x:c>
      <x:c r="H62" s="24" t="n">
        <x:v>0</x:v>
      </x:c>
      <x:c r="I62" s="24" t="n">
        <x:v>0</x:v>
      </x:c>
      <x:c r="J62" s="24" t="n">
        <x:v>0</x:v>
      </x:c>
      <x:c r="K62" s="24" t="n">
        <x:v>31865823.5635883</x:v>
      </x:c>
      <x:c r="L62" s="24" t="n">
        <x:v>40000000</x:v>
      </x:c>
      <x:c r="M62" s="24" t="n">
        <x:v>2000000</x:v>
      </x:c>
      <x:c r="N62" s="24" t="n">
        <x:v>1399644.29410987</x:v>
      </x:c>
      <x:c r="O62" s="24" t="n">
        <x:v>0</x:v>
      </x:c>
      <x:c r="P62" t="str">
        <x:v>Base</x:v>
      </x:c>
      <x:c r="Q62" t="str">
        <x:v>PREPARADO / VALIDAR</x:v>
      </x:c>
    </x:row>
    <x:row r="63">
      <x:c r="A63" s="26" t="n">
        <x:v>46327</x:v>
      </x:c>
      <x:c r="B63" t="str">
        <x:v>TuClick</x:v>
      </x:c>
      <x:c r="C63" s="7" t="n">
        <x:v>64.3629084249084</x:v>
      </x:c>
      <x:c r="D63" s="24" t="n">
        <x:v>449449214.587831</x:v>
      </x:c>
      <x:c r="E63" s="24" t="n">
        <x:v>384324023.394055</x:v>
      </x:c>
      <x:c r="F63" s="24" t="n">
        <x:v>14362583.0150183</x:v>
      </x:c>
      <x:c r="G63" s="24" t="n">
        <x:v>0</x:v>
      </x:c>
      <x:c r="H63" s="24" t="n">
        <x:v>0</x:v>
      </x:c>
      <x:c r="I63" s="24" t="n">
        <x:v>0</x:v>
      </x:c>
      <x:c r="J63" s="24" t="n">
        <x:v>0</x:v>
      </x:c>
      <x:c r="K63" s="24" t="n">
        <x:v>31865823.5635883</x:v>
      </x:c>
      <x:c r="L63" s="24" t="n">
        <x:v>40000000</x:v>
      </x:c>
      <x:c r="M63" s="24" t="n">
        <x:v>2000000</x:v>
      </x:c>
      <x:c r="N63" s="24" t="n">
        <x:v>1967682.72582239</x:v>
      </x:c>
      <x:c r="O63" s="24" t="n">
        <x:v>0</x:v>
      </x:c>
      <x:c r="P63" t="str">
        <x:v>Base</x:v>
      </x:c>
      <x:c r="Q63" t="str">
        <x:v>PREPARADO / VALIDAR</x:v>
      </x:c>
    </x:row>
    <x:row r="64">
      <x:c r="A64" s="26" t="n">
        <x:v>46357</x:v>
      </x:c>
      <x:c r="B64" t="str">
        <x:v>TuClick</x:v>
      </x:c>
      <x:c r="C64" s="7" t="n">
        <x:v>65.6346666666667</x:v>
      </x:c>
      <x:c r="D64" s="24" t="n">
        <x:v>458329962.162667</x:v>
      </x:c>
      <x:c r="E64" s="24" t="n">
        <x:v>391917950.645296</x:v>
      </x:c>
      <x:c r="F64" s="24" t="n">
        <x:v>14646375.8666667</x:v>
      </x:c>
      <x:c r="G64" s="24" t="n">
        <x:v>0</x:v>
      </x:c>
      <x:c r="H64" s="24" t="n">
        <x:v>0</x:v>
      </x:c>
      <x:c r="I64" s="24" t="n">
        <x:v>0</x:v>
      </x:c>
      <x:c r="J64" s="24" t="n">
        <x:v>0</x:v>
      </x:c>
      <x:c r="K64" s="24" t="n">
        <x:v>31865823.5635883</x:v>
      </x:c>
      <x:c r="L64" s="24" t="n">
        <x:v>40000000</x:v>
      </x:c>
      <x:c r="M64" s="24" t="n">
        <x:v>2000000</x:v>
      </x:c>
      <x:c r="N64" s="24" t="n">
        <x:v>2517397.33715708</x:v>
      </x:c>
      <x:c r="O64" s="24" t="n">
        <x:v>0</x:v>
      </x:c>
      <x:c r="P64" t="str">
        <x:v>Base</x:v>
      </x:c>
      <x:c r="Q64" t="str">
        <x:v>PREPARADO / VALIDAR</x:v>
      </x:c>
    </x:row>
    <x:row r="65">
      <x:c r="A65" s="26" t="n">
        <x:v>46388</x:v>
      </x:c>
      <x:c r="B65" t="str">
        <x:v>TuClick</x:v>
      </x:c>
      <x:c r="C65" s="7" t="n">
        <x:v>66.9488168498168</x:v>
      </x:c>
      <x:c r="D65" s="24" t="n">
        <x:v>467506734.656663</x:v>
      </x:c>
      <x:c r="E65" s="24" t="n">
        <x:v>399765008.804912</x:v>
      </x:c>
      <x:c r="F65" s="24" t="n">
        <x:v>14939628.4800366</x:v>
      </x:c>
      <x:c r="G65" s="24" t="n">
        <x:v>0</x:v>
      </x:c>
      <x:c r="H65" s="24" t="n">
        <x:v>0</x:v>
      </x:c>
      <x:c r="I65" s="24" t="n">
        <x:v>0</x:v>
      </x:c>
      <x:c r="J65" s="24" t="n">
        <x:v>0</x:v>
      </x:c>
      <x:c r="K65" s="24" t="n">
        <x:v>31865823.5635883</x:v>
      </x:c>
      <x:c r="L65" s="24" t="n">
        <x:v>42400000</x:v>
      </x:c>
      <x:c r="M65" s="24" t="n">
        <x:v>2000000</x:v>
      </x:c>
      <x:c r="N65" s="24" t="n">
        <x:v>2245435.7688696</x:v>
      </x:c>
      <x:c r="O65" s="24" t="n">
        <x:v>0</x:v>
      </x:c>
      <x:c r="P65" t="str">
        <x:v>Base</x:v>
      </x:c>
      <x:c r="Q65" t="str">
        <x:v>PREPARADO / VALIDAR</x:v>
      </x:c>
    </x:row>
    <x:row r="66">
      <x:c r="A66" s="26" t="n">
        <x:v>46419</x:v>
      </x:c>
      <x:c r="B66" t="str">
        <x:v>TuClick</x:v>
      </x:c>
      <x:c r="C66" s="7" t="n">
        <x:v>68.262967032967</x:v>
      </x:c>
      <x:c r="D66" s="24" t="n">
        <x:v>476683507.150659</x:v>
      </x:c>
      <x:c r="E66" s="24" t="n">
        <x:v>407612066.964529</x:v>
      </x:c>
      <x:c r="F66" s="24" t="n">
        <x:v>15232881.0934066</x:v>
      </x:c>
      <x:c r="G66" s="24" t="n">
        <x:v>0</x:v>
      </x:c>
      <x:c r="H66" s="24" t="n">
        <x:v>0</x:v>
      </x:c>
      <x:c r="I66" s="24" t="n">
        <x:v>0</x:v>
      </x:c>
      <x:c r="J66" s="24" t="n">
        <x:v>0</x:v>
      </x:c>
      <x:c r="K66" s="24" t="n">
        <x:v>31865823.5635883</x:v>
      </x:c>
      <x:c r="L66" s="24" t="n">
        <x:v>42400000</x:v>
      </x:c>
      <x:c r="M66" s="24" t="n">
        <x:v>2000000</x:v>
      </x:c>
      <x:c r="N66" s="24" t="n">
        <x:v>2813474.20058209</x:v>
      </x:c>
      <x:c r="O66" s="24" t="n">
        <x:v>0</x:v>
      </x:c>
      <x:c r="P66" t="str">
        <x:v>Base</x:v>
      </x:c>
      <x:c r="Q66" t="str">
        <x:v>PREPARADO / VALIDAR</x:v>
      </x:c>
    </x:row>
    <x:row r="67">
      <x:c r="A67" s="26" t="n">
        <x:v>46447</x:v>
      </x:c>
      <x:c r="B67" t="str">
        <x:v>TuClick</x:v>
      </x:c>
      <x:c r="C67" s="7" t="n">
        <x:v>69.4499413919414</x:v>
      </x:c>
      <x:c r="D67" s="24" t="n">
        <x:v>484972204.887172</x:v>
      </x:c>
      <x:c r="E67" s="24" t="n">
        <x:v>414699732.399021</x:v>
      </x:c>
      <x:c r="F67" s="24" t="n">
        <x:v>15497754.4216117</x:v>
      </x:c>
      <x:c r="G67" s="24" t="n">
        <x:v>0</x:v>
      </x:c>
      <x:c r="H67" s="24" t="n">
        <x:v>0</x:v>
      </x:c>
      <x:c r="I67" s="24" t="n">
        <x:v>0</x:v>
      </x:c>
      <x:c r="J67" s="24" t="n">
        <x:v>0</x:v>
      </x:c>
      <x:c r="K67" s="24" t="n">
        <x:v>31865823.5635883</x:v>
      </x:c>
      <x:c r="L67" s="24" t="n">
        <x:v>42400000</x:v>
      </x:c>
      <x:c r="M67" s="24" t="n">
        <x:v>2000000</x:v>
      </x:c>
      <x:c r="N67" s="24" t="n">
        <x:v>3326541.17116115</x:v>
      </x:c>
      <x:c r="O67" s="24" t="n">
        <x:v>0</x:v>
      </x:c>
      <x:c r="P67" t="str">
        <x:v>Base</x:v>
      </x:c>
      <x:c r="Q67" t="str">
        <x:v>PREPARADO / VALIDAR</x:v>
      </x:c>
    </x:row>
    <x:row r="68">
      <x:c r="A68" s="26" t="n">
        <x:v>46478</x:v>
      </x:c>
      <x:c r="B68" t="str">
        <x:v>TuClick</x:v>
      </x:c>
      <x:c r="C68" s="7" t="n">
        <x:v>70.7640915750916</x:v>
      </x:c>
      <x:c r="D68" s="24" t="n">
        <x:v>494148977.381169</x:v>
      </x:c>
      <x:c r="E68" s="24" t="n">
        <x:v>422546790.558637</x:v>
      </x:c>
      <x:c r="F68" s="24" t="n">
        <x:v>15791007.0349817</x:v>
      </x:c>
      <x:c r="G68" s="24" t="n">
        <x:v>0</x:v>
      </x:c>
      <x:c r="H68" s="24" t="n">
        <x:v>0</x:v>
      </x:c>
      <x:c r="I68" s="24" t="n">
        <x:v>0</x:v>
      </x:c>
      <x:c r="J68" s="24" t="n">
        <x:v>0</x:v>
      </x:c>
      <x:c r="K68" s="24" t="n">
        <x:v>31865823.5635883</x:v>
      </x:c>
      <x:c r="L68" s="24" t="n">
        <x:v>42400000</x:v>
      </x:c>
      <x:c r="M68" s="24" t="n">
        <x:v>2000000</x:v>
      </x:c>
      <x:c r="N68" s="24" t="n">
        <x:v>3894579.60287367</x:v>
      </x:c>
      <x:c r="O68" s="24" t="n">
        <x:v>0</x:v>
      </x:c>
      <x:c r="P68" t="str">
        <x:v>Base</x:v>
      </x:c>
      <x:c r="Q68" t="str">
        <x:v>PREPARADO / VALIDAR</x:v>
      </x:c>
    </x:row>
    <x:row r="69">
      <x:c r="A69" s="26" t="n">
        <x:v>46508</x:v>
      </x:c>
      <x:c r="B69" t="str">
        <x:v>TuClick</x:v>
      </x:c>
      <x:c r="C69" s="7" t="n">
        <x:v>72.0358498168498</x:v>
      </x:c>
      <x:c r="D69" s="24" t="n">
        <x:v>503029724.956004</x:v>
      </x:c>
      <x:c r="E69" s="24" t="n">
        <x:v>430140717.809879</x:v>
      </x:c>
      <x:c r="F69" s="24" t="n">
        <x:v>16074799.88663</x:v>
      </x:c>
      <x:c r="G69" s="24" t="n">
        <x:v>0</x:v>
      </x:c>
      <x:c r="H69" s="24" t="n">
        <x:v>0</x:v>
      </x:c>
      <x:c r="I69" s="24" t="n">
        <x:v>0</x:v>
      </x:c>
      <x:c r="J69" s="24" t="n">
        <x:v>0</x:v>
      </x:c>
      <x:c r="K69" s="24" t="n">
        <x:v>31865823.5635883</x:v>
      </x:c>
      <x:c r="L69" s="24" t="n">
        <x:v>42400000</x:v>
      </x:c>
      <x:c r="M69" s="24" t="n">
        <x:v>2000000</x:v>
      </x:c>
      <x:c r="N69" s="24" t="n">
        <x:v>4444294.21420835</x:v>
      </x:c>
      <x:c r="O69" s="24" t="n">
        <x:v>0</x:v>
      </x:c>
      <x:c r="P69" t="str">
        <x:v>Base</x:v>
      </x:c>
      <x:c r="Q69" t="str">
        <x:v>PREPARADO / VALIDAR</x:v>
      </x:c>
    </x:row>
    <x:row r="70">
      <x:c r="A70" s="26" t="n">
        <x:v>46539</x:v>
      </x:c>
      <x:c r="B70" t="str">
        <x:v>TuClick</x:v>
      </x:c>
      <x:c r="C70" s="7" t="n">
        <x:v>73.35</x:v>
      </x:c>
      <x:c r="D70" s="24" t="n">
        <x:v>512206497.45</x:v>
      </x:c>
      <x:c r="E70" s="24" t="n">
        <x:v>437987775.969495</x:v>
      </x:c>
      <x:c r="F70" s="24" t="n">
        <x:v>16368052.5</x:v>
      </x:c>
      <x:c r="G70" s="24" t="n">
        <x:v>0</x:v>
      </x:c>
      <x:c r="H70" s="24" t="n">
        <x:v>0</x:v>
      </x:c>
      <x:c r="I70" s="24" t="n">
        <x:v>0</x:v>
      </x:c>
      <x:c r="J70" s="24" t="n">
        <x:v>0</x:v>
      </x:c>
      <x:c r="K70" s="24" t="n">
        <x:v>31865823.5635883</x:v>
      </x:c>
      <x:c r="L70" s="24" t="n">
        <x:v>42400000</x:v>
      </x:c>
      <x:c r="M70" s="24" t="n">
        <x:v>2000000</x:v>
      </x:c>
      <x:c r="N70" s="24" t="n">
        <x:v>5012332.64592085</x:v>
      </x:c>
      <x:c r="O70" s="24" t="n">
        <x:v>0</x:v>
      </x:c>
      <x:c r="P70" t="str">
        <x:v>Base</x:v>
      </x:c>
      <x:c r="Q70" t="str">
        <x:v>PREPARADO / VALIDAR</x:v>
      </x:c>
    </x:row>
    <x:row r="71">
      <x:c r="A71" s="26" t="n">
        <x:v>46569</x:v>
      </x:c>
      <x:c r="B71" t="str">
        <x:v>TuClick</x:v>
      </x:c>
      <x:c r="C71" s="7" t="n">
        <x:v>74.6860655737705</x:v>
      </x:c>
      <x:c r="D71" s="24" t="n">
        <x:v>521536306.146721</x:v>
      </x:c>
      <x:c r="E71" s="24" t="n">
        <x:v>445965695.386061</x:v>
      </x:c>
      <x:c r="F71" s="24" t="n">
        <x:v>16666195.5327869</x:v>
      </x:c>
      <x:c r="G71" s="24" t="n">
        <x:v>0</x:v>
      </x:c>
      <x:c r="H71" s="24" t="n">
        <x:v>0</x:v>
      </x:c>
      <x:c r="I71" s="24" t="n">
        <x:v>0</x:v>
      </x:c>
      <x:c r="J71" s="24" t="n">
        <x:v>0</x:v>
      </x:c>
      <x:c r="K71" s="24" t="n">
        <x:v>31865823.5635883</x:v>
      </x:c>
      <x:c r="L71" s="24" t="n">
        <x:v>42400000</x:v>
      </x:c>
      <x:c r="M71" s="24" t="n">
        <x:v>2000000</x:v>
      </x:c>
      <x:c r="N71" s="24" t="n">
        <x:v>5589843.95545049</x:v>
      </x:c>
      <x:c r="O71" s="24" t="n">
        <x:v>0</x:v>
      </x:c>
      <x:c r="P71" t="str">
        <x:v>Base</x:v>
      </x:c>
      <x:c r="Q71" t="str">
        <x:v>PREPARADO / VALIDAR</x:v>
      </x:c>
    </x:row>
    <x:row r="72">
      <x:c r="A72" s="26" t="n">
        <x:v>46600</x:v>
      </x:c>
      <x:c r="B72" t="str">
        <x:v>TuClick</x:v>
      </x:c>
      <x:c r="C72" s="7" t="n">
        <x:v>76.0666666666667</x:v>
      </x:c>
      <x:c r="D72" s="24" t="n">
        <x:v>531177108.466667</x:v>
      </x:c>
      <x:c r="E72" s="24" t="n">
        <x:v>454209545.449847</x:v>
      </x:c>
      <x:c r="F72" s="24" t="n">
        <x:v>16974276.6666667</x:v>
      </x:c>
      <x:c r="G72" s="24" t="n">
        <x:v>0</x:v>
      </x:c>
      <x:c r="H72" s="24" t="n">
        <x:v>0</x:v>
      </x:c>
      <x:c r="I72" s="24" t="n">
        <x:v>0</x:v>
      </x:c>
      <x:c r="J72" s="24" t="n">
        <x:v>0</x:v>
      </x:c>
      <x:c r="K72" s="24" t="n">
        <x:v>31865823.5635883</x:v>
      </x:c>
      <x:c r="L72" s="24" t="n">
        <x:v>42400000</x:v>
      </x:c>
      <x:c r="M72" s="24" t="n">
        <x:v>2000000</x:v>
      </x:c>
      <x:c r="N72" s="24" t="n">
        <x:v>6186605.64196444</x:v>
      </x:c>
      <x:c r="O72" s="24" t="n">
        <x:v>0</x:v>
      </x:c>
      <x:c r="P72" t="str">
        <x:v>Base</x:v>
      </x:c>
      <x:c r="Q72" t="str">
        <x:v>PREPARADO / VALIDAR</x:v>
      </x:c>
    </x:row>
    <x:row r="73">
      <x:c r="A73" s="26" t="n">
        <x:v>46631</x:v>
      </x:c>
      <x:c r="B73" t="str">
        <x:v>TuClick</x:v>
      </x:c>
      <x:c r="C73" s="7" t="n">
        <x:v>77.4472677595628</x:v>
      </x:c>
      <x:c r="D73" s="24" t="n">
        <x:v>540817910.786612</x:v>
      </x:c>
      <x:c r="E73" s="24" t="n">
        <x:v>462453395.513632</x:v>
      </x:c>
      <x:c r="F73" s="24" t="n">
        <x:v>17282357.8005464</x:v>
      </x:c>
      <x:c r="G73" s="24" t="n">
        <x:v>0</x:v>
      </x:c>
      <x:c r="H73" s="24" t="n">
        <x:v>0</x:v>
      </x:c>
      <x:c r="I73" s="24" t="n">
        <x:v>0</x:v>
      </x:c>
      <x:c r="J73" s="24" t="n">
        <x:v>0</x:v>
      </x:c>
      <x:c r="K73" s="24" t="n">
        <x:v>31865823.5635883</x:v>
      </x:c>
      <x:c r="L73" s="24" t="n">
        <x:v>42400000</x:v>
      </x:c>
      <x:c r="M73" s="24" t="n">
        <x:v>2000000</x:v>
      </x:c>
      <x:c r="N73" s="24" t="n">
        <x:v>6783367.32847837</x:v>
      </x:c>
      <x:c r="O73" s="24" t="n">
        <x:v>0</x:v>
      </x:c>
      <x:c r="P73" t="str">
        <x:v>Base</x:v>
      </x:c>
      <x:c r="Q73" t="str">
        <x:v>PREPARADO / VALIDAR</x:v>
      </x:c>
    </x:row>
    <x:row r="74">
      <x:c r="A74" s="26" t="n">
        <x:v>46661</x:v>
      </x:c>
      <x:c r="B74" t="str">
        <x:v>TuClick</x:v>
      </x:c>
      <x:c r="C74" s="7" t="n">
        <x:v>78.7833333333333</x:v>
      </x:c>
      <x:c r="D74" s="24" t="n">
        <x:v>550147719.483333</x:v>
      </x:c>
      <x:c r="E74" s="24" t="n">
        <x:v>470431314.930198</x:v>
      </x:c>
      <x:c r="F74" s="24" t="n">
        <x:v>17580500.8333333</x:v>
      </x:c>
      <x:c r="G74" s="24" t="n">
        <x:v>0</x:v>
      </x:c>
      <x:c r="H74" s="24" t="n">
        <x:v>0</x:v>
      </x:c>
      <x:c r="I74" s="24" t="n">
        <x:v>0</x:v>
      </x:c>
      <x:c r="J74" s="24" t="n">
        <x:v>0</x:v>
      </x:c>
      <x:c r="K74" s="24" t="n">
        <x:v>31865823.5635883</x:v>
      </x:c>
      <x:c r="L74" s="24" t="n">
        <x:v>42400000</x:v>
      </x:c>
      <x:c r="M74" s="24" t="n">
        <x:v>2000000</x:v>
      </x:c>
      <x:c r="N74" s="24" t="n">
        <x:v>7360878.63800801</x:v>
      </x:c>
      <x:c r="O74" s="24" t="n">
        <x:v>0</x:v>
      </x:c>
      <x:c r="P74" t="str">
        <x:v>Base</x:v>
      </x:c>
      <x:c r="Q74" t="str">
        <x:v>PREPARADO / VALIDAR</x:v>
      </x:c>
    </x:row>
    <x:row r="75">
      <x:c r="A75" s="26" t="n">
        <x:v>46692</x:v>
      </x:c>
      <x:c r="B75" t="str">
        <x:v>TuClick</x:v>
      </x:c>
      <x:c r="C75" s="7" t="n">
        <x:v>80.1639344262295</x:v>
      </x:c>
      <x:c r="D75" s="24" t="n">
        <x:v>559788521.803278</x:v>
      </x:c>
      <x:c r="E75" s="24" t="n">
        <x:v>478675164.993983</x:v>
      </x:c>
      <x:c r="F75" s="24" t="n">
        <x:v>17888581.9672131</x:v>
      </x:c>
      <x:c r="G75" s="24" t="n">
        <x:v>0</x:v>
      </x:c>
      <x:c r="H75" s="24" t="n">
        <x:v>0</x:v>
      </x:c>
      <x:c r="I75" s="24" t="n">
        <x:v>0</x:v>
      </x:c>
      <x:c r="J75" s="24" t="n">
        <x:v>0</x:v>
      </x:c>
      <x:c r="K75" s="24" t="n">
        <x:v>31865823.5635883</x:v>
      </x:c>
      <x:c r="L75" s="24" t="n">
        <x:v>42400000</x:v>
      </x:c>
      <x:c r="M75" s="24" t="n">
        <x:v>2000000</x:v>
      </x:c>
      <x:c r="N75" s="24" t="n">
        <x:v>7957640.32452196</x:v>
      </x:c>
      <x:c r="O75" s="24" t="n">
        <x:v>0</x:v>
      </x:c>
      <x:c r="P75" t="str">
        <x:v>Base</x:v>
      </x:c>
      <x:c r="Q75" t="str">
        <x:v>PREPARADO / VALIDAR</x:v>
      </x:c>
    </x:row>
    <x:row r="76">
      <x:c r="A76" s="26" t="n">
        <x:v>46722</x:v>
      </x:c>
      <x:c r="B76" t="str">
        <x:v>TuClick</x:v>
      </x:c>
      <x:c r="C76" s="7" t="n">
        <x:v>81.5</x:v>
      </x:c>
      <x:c r="D76" s="24" t="n">
        <x:v>569118330.5</x:v>
      </x:c>
      <x:c r="E76" s="24" t="n">
        <x:v>486653084.41055</x:v>
      </x:c>
      <x:c r="F76" s="24" t="n">
        <x:v>18186725</x:v>
      </x:c>
      <x:c r="G76" s="24" t="n">
        <x:v>0</x:v>
      </x:c>
      <x:c r="H76" s="24" t="n">
        <x:v>0</x:v>
      </x:c>
      <x:c r="I76" s="24" t="n">
        <x:v>0</x:v>
      </x:c>
      <x:c r="J76" s="24" t="n">
        <x:v>0</x:v>
      </x:c>
      <x:c r="K76" s="24" t="n">
        <x:v>31865823.5635883</x:v>
      </x:c>
      <x:c r="L76" s="24" t="n">
        <x:v>42400000</x:v>
      </x:c>
      <x:c r="M76" s="24" t="n">
        <x:v>2000000</x:v>
      </x:c>
      <x:c r="N76" s="24" t="n">
        <x:v>8535151.6340516</x:v>
      </x:c>
      <x:c r="O76" s="24" t="n">
        <x:v>0</x:v>
      </x:c>
      <x:c r="P76" t="str">
        <x:v>Base</x:v>
      </x:c>
      <x:c r="Q76" t="str">
        <x:v>PREPARADO / VALIDAR</x:v>
      </x:c>
    </x:row>
    <x:row r="77">
      <x:c r="A77" s="26" t="n">
        <x:v>46753</x:v>
      </x:c>
      <x:c r="B77" t="str">
        <x:v>TuClick</x:v>
      </x:c>
      <x:c r="C77" s="7" t="n">
        <x:v>81.5</x:v>
      </x:c>
      <x:c r="D77" s="24" t="n">
        <x:v>569118330.5</x:v>
      </x:c>
      <x:c r="E77" s="24" t="n">
        <x:v>486653084.41055</x:v>
      </x:c>
      <x:c r="F77" s="24" t="n">
        <x:v>18186725</x:v>
      </x:c>
      <x:c r="G77" s="24" t="n">
        <x:v>0</x:v>
      </x:c>
      <x:c r="H77" s="24" t="n">
        <x:v>0</x:v>
      </x:c>
      <x:c r="I77" s="24" t="n">
        <x:v>0</x:v>
      </x:c>
      <x:c r="J77" s="24" t="n">
        <x:v>0</x:v>
      </x:c>
      <x:c r="K77" s="24" t="n">
        <x:v>31865823.5635883</x:v>
      </x:c>
      <x:c r="L77" s="24" t="n">
        <x:v>44944000</x:v>
      </x:c>
      <x:c r="M77" s="24" t="n">
        <x:v>2000000</x:v>
      </x:c>
      <x:c r="N77" s="24" t="n">
        <x:v>7644751.6340516</x:v>
      </x:c>
      <x:c r="O77" s="24" t="n">
        <x:v>0</x:v>
      </x:c>
      <x:c r="P77" t="str">
        <x:v>Base</x:v>
      </x:c>
      <x:c r="Q77" t="str">
        <x:v>PREPARADO / VALIDAR</x:v>
      </x:c>
    </x:row>
    <x:row r="78">
      <x:c r="A78" s="26" t="n">
        <x:v>46784</x:v>
      </x:c>
      <x:c r="B78" t="str">
        <x:v>TuClick</x:v>
      </x:c>
      <x:c r="C78" s="7" t="n">
        <x:v>81.5</x:v>
      </x:c>
      <x:c r="D78" s="24" t="n">
        <x:v>569118330.5</x:v>
      </x:c>
      <x:c r="E78" s="24" t="n">
        <x:v>486653084.41055</x:v>
      </x:c>
      <x:c r="F78" s="24" t="n">
        <x:v>18186725</x:v>
      </x:c>
      <x:c r="G78" s="24" t="n">
        <x:v>0</x:v>
      </x:c>
      <x:c r="H78" s="24" t="n">
        <x:v>0</x:v>
      </x:c>
      <x:c r="I78" s="24" t="n">
        <x:v>0</x:v>
      </x:c>
      <x:c r="J78" s="24" t="n">
        <x:v>0</x:v>
      </x:c>
      <x:c r="K78" s="24" t="n">
        <x:v>31865823.5635883</x:v>
      </x:c>
      <x:c r="L78" s="24" t="n">
        <x:v>44944000</x:v>
      </x:c>
      <x:c r="M78" s="24" t="n">
        <x:v>2000000</x:v>
      </x:c>
      <x:c r="N78" s="24" t="n">
        <x:v>7644751.6340516</x:v>
      </x:c>
      <x:c r="O78" s="24" t="n">
        <x:v>0</x:v>
      </x:c>
      <x:c r="P78" t="str">
        <x:v>Base</x:v>
      </x:c>
      <x:c r="Q78" t="str">
        <x:v>PREPARADO / VALIDAR</x:v>
      </x:c>
    </x:row>
    <x:row r="79">
      <x:c r="A79" s="26" t="n">
        <x:v>46813</x:v>
      </x:c>
      <x:c r="B79" t="str">
        <x:v>TuClick</x:v>
      </x:c>
      <x:c r="C79" s="7" t="n">
        <x:v>81.5</x:v>
      </x:c>
      <x:c r="D79" s="24" t="n">
        <x:v>569118330.5</x:v>
      </x:c>
      <x:c r="E79" s="24" t="n">
        <x:v>486653084.41055</x:v>
      </x:c>
      <x:c r="F79" s="24" t="n">
        <x:v>18186725</x:v>
      </x:c>
      <x:c r="G79" s="24" t="n">
        <x:v>0</x:v>
      </x:c>
      <x:c r="H79" s="24" t="n">
        <x:v>0</x:v>
      </x:c>
      <x:c r="I79" s="24" t="n">
        <x:v>0</x:v>
      </x:c>
      <x:c r="J79" s="24" t="n">
        <x:v>0</x:v>
      </x:c>
      <x:c r="K79" s="24" t="n">
        <x:v>31865823.5635883</x:v>
      </x:c>
      <x:c r="L79" s="24" t="n">
        <x:v>44944000</x:v>
      </x:c>
      <x:c r="M79" s="24" t="n">
        <x:v>2000000</x:v>
      </x:c>
      <x:c r="N79" s="24" t="n">
        <x:v>7644751.6340516</x:v>
      </x:c>
      <x:c r="O79" s="24" t="n">
        <x:v>0</x:v>
      </x:c>
      <x:c r="P79" t="str">
        <x:v>Base</x:v>
      </x:c>
      <x:c r="Q79" t="str">
        <x:v>PREPARADO / VALIDAR</x:v>
      </x:c>
    </x:row>
    <x:row r="80">
      <x:c r="A80" s="26" t="n">
        <x:v>46844</x:v>
      </x:c>
      <x:c r="B80" t="str">
        <x:v>TuClick</x:v>
      </x:c>
      <x:c r="C80" s="7" t="n">
        <x:v>81.5</x:v>
      </x:c>
      <x:c r="D80" s="24" t="n">
        <x:v>569118330.5</x:v>
      </x:c>
      <x:c r="E80" s="24" t="n">
        <x:v>486653084.41055</x:v>
      </x:c>
      <x:c r="F80" s="24" t="n">
        <x:v>18186725</x:v>
      </x:c>
      <x:c r="G80" s="24" t="n">
        <x:v>0</x:v>
      </x:c>
      <x:c r="H80" s="24" t="n">
        <x:v>0</x:v>
      </x:c>
      <x:c r="I80" s="24" t="n">
        <x:v>0</x:v>
      </x:c>
      <x:c r="J80" s="24" t="n">
        <x:v>0</x:v>
      </x:c>
      <x:c r="K80" s="24" t="n">
        <x:v>31865823.5635883</x:v>
      </x:c>
      <x:c r="L80" s="24" t="n">
        <x:v>44944000</x:v>
      </x:c>
      <x:c r="M80" s="24" t="n">
        <x:v>2000000</x:v>
      </x:c>
      <x:c r="N80" s="24" t="n">
        <x:v>7644751.6340516</x:v>
      </x:c>
      <x:c r="O80" s="24" t="n">
        <x:v>0</x:v>
      </x:c>
      <x:c r="P80" t="str">
        <x:v>Base</x:v>
      </x:c>
      <x:c r="Q80" t="str">
        <x:v>PREPARADO / VALIDAR</x:v>
      </x:c>
    </x:row>
    <x:row r="81">
      <x:c r="A81" s="26" t="n">
        <x:v>46874</x:v>
      </x:c>
      <x:c r="B81" t="str">
        <x:v>TuClick</x:v>
      </x:c>
      <x:c r="C81" s="7" t="n">
        <x:v>81.5</x:v>
      </x:c>
      <x:c r="D81" s="24" t="n">
        <x:v>569118330.5</x:v>
      </x:c>
      <x:c r="E81" s="24" t="n">
        <x:v>486653084.41055</x:v>
      </x:c>
      <x:c r="F81" s="24" t="n">
        <x:v>18186725</x:v>
      </x:c>
      <x:c r="G81" s="24" t="n">
        <x:v>0</x:v>
      </x:c>
      <x:c r="H81" s="24" t="n">
        <x:v>0</x:v>
      </x:c>
      <x:c r="I81" s="24" t="n">
        <x:v>0</x:v>
      </x:c>
      <x:c r="J81" s="24" t="n">
        <x:v>0</x:v>
      </x:c>
      <x:c r="K81" s="24" t="n">
        <x:v>31865823.5635883</x:v>
      </x:c>
      <x:c r="L81" s="24" t="n">
        <x:v>44944000</x:v>
      </x:c>
      <x:c r="M81" s="24" t="n">
        <x:v>2000000</x:v>
      </x:c>
      <x:c r="N81" s="24" t="n">
        <x:v>7644751.6340516</x:v>
      </x:c>
      <x:c r="O81" s="24" t="n">
        <x:v>0</x:v>
      </x:c>
      <x:c r="P81" t="str">
        <x:v>Base</x:v>
      </x:c>
      <x:c r="Q81" t="str">
        <x:v>PREPARADO / VALIDAR</x:v>
      </x:c>
    </x:row>
    <x:row r="82">
      <x:c r="A82" s="26" t="n">
        <x:v>46905</x:v>
      </x:c>
      <x:c r="B82" t="str">
        <x:v>TuClick</x:v>
      </x:c>
      <x:c r="C82" s="7" t="n">
        <x:v>81.5</x:v>
      </x:c>
      <x:c r="D82" s="24" t="n">
        <x:v>569118330.5</x:v>
      </x:c>
      <x:c r="E82" s="24" t="n">
        <x:v>486653084.41055</x:v>
      </x:c>
      <x:c r="F82" s="24" t="n">
        <x:v>18186725</x:v>
      </x:c>
      <x:c r="G82" s="24" t="n">
        <x:v>0</x:v>
      </x:c>
      <x:c r="H82" s="24" t="n">
        <x:v>0</x:v>
      </x:c>
      <x:c r="I82" s="24" t="n">
        <x:v>0</x:v>
      </x:c>
      <x:c r="J82" s="24" t="n">
        <x:v>0</x:v>
      </x:c>
      <x:c r="K82" s="24" t="n">
        <x:v>31865823.5635883</x:v>
      </x:c>
      <x:c r="L82" s="24" t="n">
        <x:v>44944000</x:v>
      </x:c>
      <x:c r="M82" s="24" t="n">
        <x:v>2000000</x:v>
      </x:c>
      <x:c r="N82" s="24" t="n">
        <x:v>7644751.6340516</x:v>
      </x:c>
      <x:c r="O82" s="24" t="n">
        <x:v>0</x:v>
      </x:c>
      <x:c r="P82" t="str">
        <x:v>Base</x:v>
      </x:c>
      <x:c r="Q82" t="str">
        <x:v>PREPARADO / VALIDAR</x:v>
      </x:c>
    </x:row>
    <x:row r="83">
      <x:c r="A83" s="26" t="n">
        <x:v>46935</x:v>
      </x:c>
      <x:c r="B83" t="str">
        <x:v>TuClick</x:v>
      </x:c>
      <x:c r="C83" s="7" t="n">
        <x:v>81.5</x:v>
      </x:c>
      <x:c r="D83" s="24" t="n">
        <x:v>569118330.5</x:v>
      </x:c>
      <x:c r="E83" s="24" t="n">
        <x:v>486653084.41055</x:v>
      </x:c>
      <x:c r="F83" s="24" t="n">
        <x:v>18186725</x:v>
      </x:c>
      <x:c r="G83" s="24" t="n">
        <x:v>0</x:v>
      </x:c>
      <x:c r="H83" s="24" t="n">
        <x:v>0</x:v>
      </x:c>
      <x:c r="I83" s="24" t="n">
        <x:v>0</x:v>
      </x:c>
      <x:c r="J83" s="24" t="n">
        <x:v>0</x:v>
      </x:c>
      <x:c r="K83" s="24" t="n">
        <x:v>31865823.5635883</x:v>
      </x:c>
      <x:c r="L83" s="24" t="n">
        <x:v>44944000</x:v>
      </x:c>
      <x:c r="M83" s="24" t="n">
        <x:v>2000000</x:v>
      </x:c>
      <x:c r="N83" s="24" t="n">
        <x:v>7644751.6340516</x:v>
      </x:c>
      <x:c r="O83" s="24" t="n">
        <x:v>0</x:v>
      </x:c>
      <x:c r="P83" t="str">
        <x:v>Base</x:v>
      </x:c>
      <x:c r="Q83" t="str">
        <x:v>PREPARADO / VALIDAR</x:v>
      </x:c>
    </x:row>
    <x:row r="84">
      <x:c r="A84" s="26" t="n">
        <x:v>46966</x:v>
      </x:c>
      <x:c r="B84" t="str">
        <x:v>TuClick</x:v>
      </x:c>
      <x:c r="C84" s="7" t="n">
        <x:v>81.5</x:v>
      </x:c>
      <x:c r="D84" s="24" t="n">
        <x:v>569118330.5</x:v>
      </x:c>
      <x:c r="E84" s="24" t="n">
        <x:v>486653084.41055</x:v>
      </x:c>
      <x:c r="F84" s="24" t="n">
        <x:v>18186725</x:v>
      </x:c>
      <x:c r="G84" s="24" t="n">
        <x:v>0</x:v>
      </x:c>
      <x:c r="H84" s="24" t="n">
        <x:v>0</x:v>
      </x:c>
      <x:c r="I84" s="24" t="n">
        <x:v>0</x:v>
      </x:c>
      <x:c r="J84" s="24" t="n">
        <x:v>0</x:v>
      </x:c>
      <x:c r="K84" s="24" t="n">
        <x:v>31865823.5635883</x:v>
      </x:c>
      <x:c r="L84" s="24" t="n">
        <x:v>44944000</x:v>
      </x:c>
      <x:c r="M84" s="24" t="n">
        <x:v>2000000</x:v>
      </x:c>
      <x:c r="N84" s="24" t="n">
        <x:v>7644751.6340516</x:v>
      </x:c>
      <x:c r="O84" s="24" t="n">
        <x:v>0</x:v>
      </x:c>
      <x:c r="P84" t="str">
        <x:v>Base</x:v>
      </x:c>
      <x:c r="Q84" t="str">
        <x:v>PREPARADO / VALIDAR</x:v>
      </x:c>
    </x:row>
    <x:row r="85">
      <x:c r="A85" s="26" t="n">
        <x:v>46997</x:v>
      </x:c>
      <x:c r="B85" t="str">
        <x:v>TuClick</x:v>
      </x:c>
      <x:c r="C85" s="7" t="n">
        <x:v>81.5</x:v>
      </x:c>
      <x:c r="D85" s="24" t="n">
        <x:v>569118330.5</x:v>
      </x:c>
      <x:c r="E85" s="24" t="n">
        <x:v>486653084.41055</x:v>
      </x:c>
      <x:c r="F85" s="24" t="n">
        <x:v>18186725</x:v>
      </x:c>
      <x:c r="G85" s="24" t="n">
        <x:v>0</x:v>
      </x:c>
      <x:c r="H85" s="24" t="n">
        <x:v>0</x:v>
      </x:c>
      <x:c r="I85" s="24" t="n">
        <x:v>0</x:v>
      </x:c>
      <x:c r="J85" s="24" t="n">
        <x:v>0</x:v>
      </x:c>
      <x:c r="K85" s="24" t="n">
        <x:v>31865823.5635883</x:v>
      </x:c>
      <x:c r="L85" s="24" t="n">
        <x:v>44944000</x:v>
      </x:c>
      <x:c r="M85" s="24" t="n">
        <x:v>2000000</x:v>
      </x:c>
      <x:c r="N85" s="24" t="n">
        <x:v>7644751.6340516</x:v>
      </x:c>
      <x:c r="O85" s="24" t="n">
        <x:v>0</x:v>
      </x:c>
      <x:c r="P85" t="str">
        <x:v>Base</x:v>
      </x:c>
      <x:c r="Q85" t="str">
        <x:v>PREPARADO / VALIDAR</x:v>
      </x:c>
    </x:row>
    <x:row r="86">
      <x:c r="A86" s="26" t="n">
        <x:v>47027</x:v>
      </x:c>
      <x:c r="B86" t="str">
        <x:v>TuClick</x:v>
      </x:c>
      <x:c r="C86" s="7" t="n">
        <x:v>81.5</x:v>
      </x:c>
      <x:c r="D86" s="24" t="n">
        <x:v>569118330.5</x:v>
      </x:c>
      <x:c r="E86" s="24" t="n">
        <x:v>486653084.41055</x:v>
      </x:c>
      <x:c r="F86" s="24" t="n">
        <x:v>18186725</x:v>
      </x:c>
      <x:c r="G86" s="24" t="n">
        <x:v>0</x:v>
      </x:c>
      <x:c r="H86" s="24" t="n">
        <x:v>0</x:v>
      </x:c>
      <x:c r="I86" s="24" t="n">
        <x:v>0</x:v>
      </x:c>
      <x:c r="J86" s="24" t="n">
        <x:v>0</x:v>
      </x:c>
      <x:c r="K86" s="24" t="n">
        <x:v>31865823.5635883</x:v>
      </x:c>
      <x:c r="L86" s="24" t="n">
        <x:v>44944000</x:v>
      </x:c>
      <x:c r="M86" s="24" t="n">
        <x:v>2000000</x:v>
      </x:c>
      <x:c r="N86" s="24" t="n">
        <x:v>7644751.6340516</x:v>
      </x:c>
      <x:c r="O86" s="24" t="n">
        <x:v>0</x:v>
      </x:c>
      <x:c r="P86" t="str">
        <x:v>Base</x:v>
      </x:c>
      <x:c r="Q86" t="str">
        <x:v>PREPARADO / VALIDAR</x:v>
      </x:c>
    </x:row>
    <x:row r="87">
      <x:c r="A87" s="26" t="n">
        <x:v>47058</x:v>
      </x:c>
      <x:c r="B87" t="str">
        <x:v>TuClick</x:v>
      </x:c>
      <x:c r="C87" s="7" t="n">
        <x:v>81.5</x:v>
      </x:c>
      <x:c r="D87" s="24" t="n">
        <x:v>569118330.5</x:v>
      </x:c>
      <x:c r="E87" s="24" t="n">
        <x:v>486653084.41055</x:v>
      </x:c>
      <x:c r="F87" s="24" t="n">
        <x:v>18186725</x:v>
      </x:c>
      <x:c r="G87" s="24" t="n">
        <x:v>0</x:v>
      </x:c>
      <x:c r="H87" s="24" t="n">
        <x:v>0</x:v>
      </x:c>
      <x:c r="I87" s="24" t="n">
        <x:v>0</x:v>
      </x:c>
      <x:c r="J87" s="24" t="n">
        <x:v>0</x:v>
      </x:c>
      <x:c r="K87" s="24" t="n">
        <x:v>31865823.5635883</x:v>
      </x:c>
      <x:c r="L87" s="24" t="n">
        <x:v>44944000</x:v>
      </x:c>
      <x:c r="M87" s="24" t="n">
        <x:v>2000000</x:v>
      </x:c>
      <x:c r="N87" s="24" t="n">
        <x:v>7644751.6340516</x:v>
      </x:c>
      <x:c r="O87" s="24" t="n">
        <x:v>0</x:v>
      </x:c>
      <x:c r="P87" t="str">
        <x:v>Base</x:v>
      </x:c>
      <x:c r="Q87" t="str">
        <x:v>PREPARADO / VALIDAR</x:v>
      </x:c>
    </x:row>
    <x:row r="88">
      <x:c r="A88" s="26" t="n">
        <x:v>47088</x:v>
      </x:c>
      <x:c r="B88" t="str">
        <x:v>TuClick</x:v>
      </x:c>
      <x:c r="C88" s="7" t="n">
        <x:v>81.5</x:v>
      </x:c>
      <x:c r="D88" s="24" t="n">
        <x:v>569118330.5</x:v>
      </x:c>
      <x:c r="E88" s="24" t="n">
        <x:v>486653084.41055</x:v>
      </x:c>
      <x:c r="F88" s="24" t="n">
        <x:v>18186725</x:v>
      </x:c>
      <x:c r="G88" s="24" t="n">
        <x:v>0</x:v>
      </x:c>
      <x:c r="H88" s="24" t="n">
        <x:v>0</x:v>
      </x:c>
      <x:c r="I88" s="24" t="n">
        <x:v>0</x:v>
      </x:c>
      <x:c r="J88" s="24" t="n">
        <x:v>0</x:v>
      </x:c>
      <x:c r="K88" s="24" t="n">
        <x:v>31865823.5635883</x:v>
      </x:c>
      <x:c r="L88" s="24" t="n">
        <x:v>44944000</x:v>
      </x:c>
      <x:c r="M88" s="24" t="n">
        <x:v>2000000</x:v>
      </x:c>
      <x:c r="N88" s="24" t="n">
        <x:v>7644751.6340516</x:v>
      </x:c>
      <x:c r="O88" s="24" t="n">
        <x:v>0</x:v>
      </x:c>
      <x:c r="P88" t="str">
        <x:v>Base</x:v>
      </x:c>
      <x:c r="Q88" t="str">
        <x:v>PREPARADO / VALIDAR</x:v>
      </x:c>
    </x:row>
  </x:sheetData>
  <x:mergeCells>
    <x:mergeCell ref="A1:Q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2" hidden="0" customWidth="1"/>
    <x:col min="4" max="4" width="12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  <x:col min="9" max="9" width="16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6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</x:cols>
  <x:sheetData>
    <x:row r="1" ht="28" customHeight="1">
      <x:c r="A1" s="4" t="str">
        <x:v>RESULTADO MENSUAL CONSOLIDADO | REAL + PROYECTADO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</x:row>
    <x:row r="4">
      <x:c r="A4" s="14" t="str">
        <x:v>Periodo</x:v>
      </x:c>
      <x:c r="B4" s="14" t="str">
        <x:v>Tipo</x:v>
      </x:c>
      <x:c r="C4" s="14" t="str">
        <x:v>Empresa</x:v>
      </x:c>
      <x:c r="D4" s="14" t="str">
        <x:v>Unidades</x:v>
      </x:c>
      <x:c r="E4" s="14" t="str">
        <x:v>Ingresos motos</x:v>
      </x:c>
      <x:c r="F4" s="14" t="str">
        <x:v>Costo motos</x:v>
      </x:c>
      <x:c r="G4" s="14" t="str">
        <x:v>Utilidad documentos</x:v>
      </x:c>
      <x:c r="H4" s="14" t="str">
        <x:v>Taller</x:v>
      </x:c>
      <x:c r="I4" s="14" t="str">
        <x:v>Repuestos</x:v>
      </x:c>
      <x:c r="J4" s="14" t="str">
        <x:v>Otros productos</x:v>
      </x:c>
      <x:c r="K4" s="14" t="str">
        <x:v>Financiación</x:v>
      </x:c>
      <x:c r="L4" s="14" t="str">
        <x:v>Personal</x:v>
      </x:c>
      <x:c r="M4" s="14" t="str">
        <x:v>Otros gastos</x:v>
      </x:c>
      <x:c r="N4" s="14" t="str">
        <x:v>Ingresos totales</x:v>
      </x:c>
      <x:c r="O4" s="14" t="str">
        <x:v>EBITDA</x:v>
      </x:c>
      <x:c r="P4" s="14" t="str">
        <x:v>Utilidad neta</x:v>
      </x:c>
      <x:c r="Q4" s="14" t="str">
        <x:v>Inversiones</x:v>
      </x:c>
      <x:c r="R4" s="14" t="str">
        <x:v>Caja operativa</x:v>
      </x:c>
      <x:c r="S4" s="14" t="str">
        <x:v>Utilidad bruta</x:v>
      </x:c>
      <x:c r="T4" s="14" t="str">
        <x:v>Gastos totales</x:v>
      </x:c>
      <x:c r="U4" s="14" t="str">
        <x:v>Punto equilibrio und.</x:v>
      </x:c>
    </x:row>
    <x:row r="5">
      <x:c r="A5" s="26" t="n">
        <x:v>46023</x:v>
      </x:c>
      <x:c r="B5" t="str">
        <x:f>IF(EOMONTH($A5,0)&lt;=Resumen!$B$4,"REAL","PROYECTADO")</x:f>
        <x:v>REAL</x:v>
      </x:c>
      <x:c r="C5" t="str">
        <x:v>Moto para Todos</x:v>
      </x:c>
      <x:c r="D5" s="15" t="n">
        <x:f>IF($B5="REAL",SUMIFS(Carga_Reales!$C:$C,Carga_Reales!$A:$A,$A5,Carga_Reales!$B:$B,$C5),SUMIFS(Proyecciones!$C:$C,Proyecciones!$A:$A,$A5,Proyecciones!$B:$B,$C5))*IF($B5="REAL",1,IF(Resumen!$B$5="Conservador",Supuestos!$B$5,IF(Resumen!$B$5="Optimista",Supuestos!$B$7,Supuestos!$B$6)))</x:f>
        <x:v>0</x:v>
      </x:c>
      <x:c r="E5" s="16" t="n">
        <x:f>IF($B5="REAL",SUMIFS(Carga_Reales!$D:$D,Carga_Reales!$A:$A,$A5,Carga_Reales!$B:$B,$C5),SUMIFS(Proyecciones!$D:$D,Proyecciones!$A:$A,$A5,Proyecciones!$B:$B,$C5))*IF($B5="REAL",1,IF(Resumen!$B$5="Conservador",Supuestos!$B$5,IF(Resumen!$B$5="Optimista",Supuestos!$B$7,Supuestos!$B$6))*IF(Resumen!$B$5="Conservador",Supuestos!$C$5,IF(Resumen!$B$5="Optimista",Supuestos!$C$7,Supuestos!$C$6)))</x:f>
        <x:v>0</x:v>
      </x:c>
      <x:c r="F5" s="16" t="n">
        <x:f>IF($B5="REAL",SUMIFS(Carga_Reales!$E:$E,Carga_Reales!$A:$A,$A5,Carga_Reales!$B:$B,$C5),SUMIFS(Proyecciones!$E:$E,Proyecciones!$A:$A,$A5,Proyecciones!$B:$B,$C5))*IF($B5="REAL",1,IF(Resumen!$B$5="Conservador",Supuestos!$B$5,IF(Resumen!$B$5="Optimista",Supuestos!$B$7,Supuestos!$B$6))*IF(Resumen!$B$5="Conservador",Supuestos!$D$5,IF(Resumen!$B$5="Optimista",Supuestos!$D$7,Supuestos!$D$6)))</x:f>
        <x:v>0</x:v>
      </x:c>
      <x:c r="G5" s="16" t="n">
        <x:f>IF($B5="REAL",SUMIFS(Carga_Reales!$F:$F,Carga_Reales!$A:$A,$A5,Carga_Reales!$B:$B,$C5),SUMIFS(Proyecciones!$F:$F,Proyecciones!$A:$A,$A5,Proyecciones!$B:$B,$C5))*IF($B5="REAL",1,IF(Resumen!$B$5="Conservador",Supuestos!$B$5,IF(Resumen!$B$5="Optimista",Supuestos!$B$7,Supuestos!$B$6)))</x:f>
        <x:v>0</x:v>
      </x:c>
      <x:c r="H5" s="16" t="n">
        <x:f>IF($B5="REAL",SUMIFS(Carga_Reales!$G:$G,Carga_Reales!$A:$A,$A5,Carga_Reales!$B:$B,$C5),SUMIFS(Proyecciones!$G:$G,Proyecciones!$A:$A,$A5,Proyecciones!$B:$B,$C5))*IF($B5="REAL",1,IF(Resumen!$B$5="Conservador",Supuestos!$B$5,IF(Resumen!$B$5="Optimista",Supuestos!$B$7,Supuestos!$B$6)))</x:f>
        <x:v>0</x:v>
      </x:c>
      <x:c r="I5" s="16" t="n">
        <x:f>IF($B5="REAL",SUMIFS(Carga_Reales!$H:$H,Carga_Reales!$A:$A,$A5,Carga_Reales!$B:$B,$C5),SUMIFS(Proyecciones!$H:$H,Proyecciones!$A:$A,$A5,Proyecciones!$B:$B,$C5))*IF($B5="REAL",1,IF(Resumen!$B$5="Conservador",Supuestos!$B$5,IF(Resumen!$B$5="Optimista",Supuestos!$B$7,Supuestos!$B$6)))</x:f>
        <x:v>0</x:v>
      </x:c>
      <x:c r="J5" s="16" t="n">
        <x:f>IF($B5="REAL",SUMIFS(Carga_Reales!$I:$I,Carga_Reales!$A:$A,$A5,Carga_Reales!$B:$B,$C5),SUMIFS(Proyecciones!$I:$I,Proyecciones!$A:$A,$A5,Proyecciones!$B:$B,$C5))*IF($B5="REAL",1,IF(Resumen!$B$5="Conservador",Supuestos!$B$5,IF(Resumen!$B$5="Optimista",Supuestos!$B$7,Supuestos!$B$6)))</x:f>
        <x:v>0</x:v>
      </x:c>
      <x:c r="K5" s="16" t="n">
        <x:f>IF($B5="REAL",SUMIFS(Carga_Reales!$J:$J,Carga_Reales!$A:$A,$A5,Carga_Reales!$B:$B,$C5),SUMIFS(Proyecciones!$J:$J,Proyecciones!$A:$A,$A5,Proyecciones!$B:$B,$C5))*IF($B5="REAL",1,IF(Resumen!$B$5="Conservador",Supuestos!$B$5,IF(Resumen!$B$5="Optimista",Supuestos!$B$7,Supuestos!$B$6)))</x:f>
        <x:v>0</x:v>
      </x:c>
      <x:c r="L5" s="16" t="n">
        <x:f>IF($B5="REAL",SUMIFS(Carga_Reales!$K:$K,Carga_Reales!$A:$A,$A5,Carga_Reales!$B:$B,$C5),SUMIFS(Proyecciones!$K:$K,Proyecciones!$A:$A,$A5,Proyecciones!$B:$B,$C5))*IF($B5="REAL",1,IF(Resumen!$B$5="Conservador",Supuestos!$E$5,IF(Resumen!$B$5="Optimista",Supuestos!$E$7,Supuestos!$E$6)))</x:f>
        <x:v>0</x:v>
      </x:c>
      <x:c r="M5" s="16" t="n">
        <x:f>IF($B5="REAL",SUMIFS(Carga_Reales!$L:$L,Carga_Reales!$A:$A,$A5,Carga_Reales!$B:$B,$C5),SUMIFS(Proyecciones!$L:$L,Proyecciones!$A:$A,$A5,Proyecciones!$B:$B,$C5))*IF($B5="REAL",1,IF(Resumen!$B$5="Conservador",Supuestos!$E$5,IF(Resumen!$B$5="Optimista",Supuestos!$E$7,Supuestos!$E$6)))</x:f>
        <x:v>0</x:v>
      </x:c>
      <x:c r="N5" s="16" t="n">
        <x:f>E5+G5+H5+I5+J5+K5</x:f>
        <x:v>0</x:v>
      </x:c>
      <x:c r="O5" s="16" t="n">
        <x:f>E5-F5+G5+H5+I5+J5+K5-L5-M5</x:f>
        <x:v>0</x:v>
      </x:c>
      <x:c r="P5" s="16" t="n">
        <x:f>O5-IF($B5="REAL",SUMIFS(Carga_Reales!$M:$M,Carga_Reales!$A:$A,$A5,Carga_Reales!$B:$B,$C5),SUMIFS(Proyecciones!$M:$M,Proyecciones!$A:$A,$A5,Proyecciones!$B:$B,$C5))-IF($B5="REAL",SUMIFS(Carga_Reales!$N:$N,Carga_Reales!$A:$A,$A5,Carga_Reales!$B:$B,$C5),SUMIFS(Proyecciones!$N:$N,Proyecciones!$A:$A,$A5,Proyecciones!$B:$B,$C5))</x:f>
        <x:v>0</x:v>
      </x:c>
      <x:c r="Q5" s="16" t="n">
        <x:f>IF($B5="REAL",SUMIFS(Carga_Reales!$O:$O,Carga_Reales!$A:$A,$A5,Carga_Reales!$B:$B,$C5),SUMIFS(Proyecciones!$O:$O,Proyecciones!$A:$A,$A5,Proyecciones!$B:$B,$C5))</x:f>
        <x:v>0</x:v>
      </x:c>
      <x:c r="R5" s="16" t="n">
        <x:f>O5-Q5</x:f>
        <x:v>0</x:v>
      </x:c>
      <x:c r="S5" s="16" t="n">
        <x:f>E5-F5</x:f>
        <x:v>0</x:v>
      </x:c>
      <x:c r="T5" s="16" t="n">
        <x:f>L5+M5</x:f>
        <x:v>0</x:v>
      </x:c>
      <x:c r="U5" t="n">
        <x:f>IFERROR((L5+M5)/MAX(1,(S5+G5)/MAX(1,D5)),0)</x:f>
        <x:v>0</x:v>
      </x:c>
    </x:row>
    <x:row r="6">
      <x:c r="A6" s="26" t="n">
        <x:v>46023</x:v>
      </x:c>
      <x:c r="B6" t="str">
        <x:f>IF(EOMONTH($A6,0)&lt;=Resumen!$B$4,"REAL","PROYECTADO")</x:f>
        <x:v>REAL</x:v>
      </x:c>
      <x:c r="C6" t="str">
        <x:v>Verificarte</x:v>
      </x:c>
      <x:c r="D6" s="15" t="n">
        <x:f>IF($B6="REAL",SUMIFS(Carga_Reales!$C:$C,Carga_Reales!$A:$A,$A6,Carga_Reales!$B:$B,$C6),SUMIFS(Proyecciones!$C:$C,Proyecciones!$A:$A,$A6,Proyecciones!$B:$B,$C6))*IF($B6="REAL",1,IF(Resumen!$B$5="Conservador",Supuestos!$B$5,IF(Resumen!$B$5="Optimista",Supuestos!$B$7,Supuestos!$B$6)))</x:f>
        <x:v>0</x:v>
      </x:c>
      <x:c r="E6" s="16" t="n">
        <x:f>IF($B6="REAL",SUMIFS(Carga_Reales!$D:$D,Carga_Reales!$A:$A,$A6,Carga_Reales!$B:$B,$C6),SUMIFS(Proyecciones!$D:$D,Proyecciones!$A:$A,$A6,Proyecciones!$B:$B,$C6))*IF($B6="REAL",1,IF(Resumen!$B$5="Conservador",Supuestos!$B$5,IF(Resumen!$B$5="Optimista",Supuestos!$B$7,Supuestos!$B$6))*IF(Resumen!$B$5="Conservador",Supuestos!$C$5,IF(Resumen!$B$5="Optimista",Supuestos!$C$7,Supuestos!$C$6)))</x:f>
        <x:v>0</x:v>
      </x:c>
      <x:c r="F6" s="16" t="n">
        <x:f>IF($B6="REAL",SUMIFS(Carga_Reales!$E:$E,Carga_Reales!$A:$A,$A6,Carga_Reales!$B:$B,$C6),SUMIFS(Proyecciones!$E:$E,Proyecciones!$A:$A,$A6,Proyecciones!$B:$B,$C6))*IF($B6="REAL",1,IF(Resumen!$B$5="Conservador",Supuestos!$B$5,IF(Resumen!$B$5="Optimista",Supuestos!$B$7,Supuestos!$B$6))*IF(Resumen!$B$5="Conservador",Supuestos!$D$5,IF(Resumen!$B$5="Optimista",Supuestos!$D$7,Supuestos!$D$6)))</x:f>
        <x:v>0</x:v>
      </x:c>
      <x:c r="G6" s="16" t="n">
        <x:f>IF($B6="REAL",SUMIFS(Carga_Reales!$F:$F,Carga_Reales!$A:$A,$A6,Carga_Reales!$B:$B,$C6),SUMIFS(Proyecciones!$F:$F,Proyecciones!$A:$A,$A6,Proyecciones!$B:$B,$C6))*IF($B6="REAL",1,IF(Resumen!$B$5="Conservador",Supuestos!$B$5,IF(Resumen!$B$5="Optimista",Supuestos!$B$7,Supuestos!$B$6)))</x:f>
        <x:v>0</x:v>
      </x:c>
      <x:c r="H6" s="16" t="n">
        <x:f>IF($B6="REAL",SUMIFS(Carga_Reales!$G:$G,Carga_Reales!$A:$A,$A6,Carga_Reales!$B:$B,$C6),SUMIFS(Proyecciones!$G:$G,Proyecciones!$A:$A,$A6,Proyecciones!$B:$B,$C6))*IF($B6="REAL",1,IF(Resumen!$B$5="Conservador",Supuestos!$B$5,IF(Resumen!$B$5="Optimista",Supuestos!$B$7,Supuestos!$B$6)))</x:f>
        <x:v>0</x:v>
      </x:c>
      <x:c r="I6" s="16" t="n">
        <x:f>IF($B6="REAL",SUMIFS(Carga_Reales!$H:$H,Carga_Reales!$A:$A,$A6,Carga_Reales!$B:$B,$C6),SUMIFS(Proyecciones!$H:$H,Proyecciones!$A:$A,$A6,Proyecciones!$B:$B,$C6))*IF($B6="REAL",1,IF(Resumen!$B$5="Conservador",Supuestos!$B$5,IF(Resumen!$B$5="Optimista",Supuestos!$B$7,Supuestos!$B$6)))</x:f>
        <x:v>0</x:v>
      </x:c>
      <x:c r="J6" s="16" t="n">
        <x:f>IF($B6="REAL",SUMIFS(Carga_Reales!$I:$I,Carga_Reales!$A:$A,$A6,Carga_Reales!$B:$B,$C6),SUMIFS(Proyecciones!$I:$I,Proyecciones!$A:$A,$A6,Proyecciones!$B:$B,$C6))*IF($B6="REAL",1,IF(Resumen!$B$5="Conservador",Supuestos!$B$5,IF(Resumen!$B$5="Optimista",Supuestos!$B$7,Supuestos!$B$6)))</x:f>
        <x:v>0</x:v>
      </x:c>
      <x:c r="K6" s="16" t="n">
        <x:f>IF($B6="REAL",SUMIFS(Carga_Reales!$J:$J,Carga_Reales!$A:$A,$A6,Carga_Reales!$B:$B,$C6),SUMIFS(Proyecciones!$J:$J,Proyecciones!$A:$A,$A6,Proyecciones!$B:$B,$C6))*IF($B6="REAL",1,IF(Resumen!$B$5="Conservador",Supuestos!$B$5,IF(Resumen!$B$5="Optimista",Supuestos!$B$7,Supuestos!$B$6)))</x:f>
        <x:v>0</x:v>
      </x:c>
      <x:c r="L6" s="16" t="n">
        <x:f>IF($B6="REAL",SUMIFS(Carga_Reales!$K:$K,Carga_Reales!$A:$A,$A6,Carga_Reales!$B:$B,$C6),SUMIFS(Proyecciones!$K:$K,Proyecciones!$A:$A,$A6,Proyecciones!$B:$B,$C6))*IF($B6="REAL",1,IF(Resumen!$B$5="Conservador",Supuestos!$E$5,IF(Resumen!$B$5="Optimista",Supuestos!$E$7,Supuestos!$E$6)))</x:f>
        <x:v>0</x:v>
      </x:c>
      <x:c r="M6" s="16" t="n">
        <x:f>IF($B6="REAL",SUMIFS(Carga_Reales!$L:$L,Carga_Reales!$A:$A,$A6,Carga_Reales!$B:$B,$C6),SUMIFS(Proyecciones!$L:$L,Proyecciones!$A:$A,$A6,Proyecciones!$B:$B,$C6))*IF($B6="REAL",1,IF(Resumen!$B$5="Conservador",Supuestos!$E$5,IF(Resumen!$B$5="Optimista",Supuestos!$E$7,Supuestos!$E$6)))</x:f>
        <x:v>0</x:v>
      </x:c>
      <x:c r="N6" s="16" t="n">
        <x:f>E6+G6+H6+I6+J6+K6</x:f>
        <x:v>0</x:v>
      </x:c>
      <x:c r="O6" s="16" t="n">
        <x:f>E6-F6+G6+H6+I6+J6+K6-L6-M6</x:f>
        <x:v>0</x:v>
      </x:c>
      <x:c r="P6" s="16" t="n">
        <x:f>O6-IF($B6="REAL",SUMIFS(Carga_Reales!$M:$M,Carga_Reales!$A:$A,$A6,Carga_Reales!$B:$B,$C6),SUMIFS(Proyecciones!$M:$M,Proyecciones!$A:$A,$A6,Proyecciones!$B:$B,$C6))-IF($B6="REAL",SUMIFS(Carga_Reales!$N:$N,Carga_Reales!$A:$A,$A6,Carga_Reales!$B:$B,$C6),SUMIFS(Proyecciones!$N:$N,Proyecciones!$A:$A,$A6,Proyecciones!$B:$B,$C6))</x:f>
        <x:v>0</x:v>
      </x:c>
      <x:c r="Q6" s="16" t="n">
        <x:f>IF($B6="REAL",SUMIFS(Carga_Reales!$O:$O,Carga_Reales!$A:$A,$A6,Carga_Reales!$B:$B,$C6),SUMIFS(Proyecciones!$O:$O,Proyecciones!$A:$A,$A6,Proyecciones!$B:$B,$C6))</x:f>
        <x:v>0</x:v>
      </x:c>
      <x:c r="R6" s="16" t="n">
        <x:f>O6-Q6</x:f>
        <x:v>0</x:v>
      </x:c>
      <x:c r="S6" s="16" t="n">
        <x:f>E6-F6</x:f>
        <x:v>0</x:v>
      </x:c>
      <x:c r="T6" s="16" t="n">
        <x:f>L6+M6</x:f>
        <x:v>0</x:v>
      </x:c>
      <x:c r="U6" t="n">
        <x:f>IFERROR((L6+M6)/MAX(1,(S6+G6)/MAX(1,D6)),0)</x:f>
        <x:v>0</x:v>
      </x:c>
    </x:row>
    <x:row r="7">
      <x:c r="A7" s="26" t="n">
        <x:v>46023</x:v>
      </x:c>
      <x:c r="B7" t="str">
        <x:f>IF(EOMONTH($A7,0)&lt;=Resumen!$B$4,"REAL","PROYECTADO")</x:f>
        <x:v>REAL</x:v>
      </x:c>
      <x:c r="C7" t="str">
        <x:v>TuClick</x:v>
      </x:c>
      <x:c r="D7" s="15" t="n">
        <x:f>IF($B7="REAL",SUMIFS(Carga_Reales!$C:$C,Carga_Reales!$A:$A,$A7,Carga_Reales!$B:$B,$C7),SUMIFS(Proyecciones!$C:$C,Proyecciones!$A:$A,$A7,Proyecciones!$B:$B,$C7))*IF($B7="REAL",1,IF(Resumen!$B$5="Conservador",Supuestos!$B$5,IF(Resumen!$B$5="Optimista",Supuestos!$B$7,Supuestos!$B$6)))</x:f>
        <x:v>0</x:v>
      </x:c>
      <x:c r="E7" s="16" t="n">
        <x:f>IF($B7="REAL",SUMIFS(Carga_Reales!$D:$D,Carga_Reales!$A:$A,$A7,Carga_Reales!$B:$B,$C7),SUMIFS(Proyecciones!$D:$D,Proyecciones!$A:$A,$A7,Proyecciones!$B:$B,$C7))*IF($B7="REAL",1,IF(Resumen!$B$5="Conservador",Supuestos!$B$5,IF(Resumen!$B$5="Optimista",Supuestos!$B$7,Supuestos!$B$6))*IF(Resumen!$B$5="Conservador",Supuestos!$C$5,IF(Resumen!$B$5="Optimista",Supuestos!$C$7,Supuestos!$C$6)))</x:f>
        <x:v>0</x:v>
      </x:c>
      <x:c r="F7" s="16" t="n">
        <x:f>IF($B7="REAL",SUMIFS(Carga_Reales!$E:$E,Carga_Reales!$A:$A,$A7,Carga_Reales!$B:$B,$C7),SUMIFS(Proyecciones!$E:$E,Proyecciones!$A:$A,$A7,Proyecciones!$B:$B,$C7))*IF($B7="REAL",1,IF(Resumen!$B$5="Conservador",Supuestos!$B$5,IF(Resumen!$B$5="Optimista",Supuestos!$B$7,Supuestos!$B$6))*IF(Resumen!$B$5="Conservador",Supuestos!$D$5,IF(Resumen!$B$5="Optimista",Supuestos!$D$7,Supuestos!$D$6)))</x:f>
        <x:v>0</x:v>
      </x:c>
      <x:c r="G7" s="16" t="n">
        <x:f>IF($B7="REAL",SUMIFS(Carga_Reales!$F:$F,Carga_Reales!$A:$A,$A7,Carga_Reales!$B:$B,$C7),SUMIFS(Proyecciones!$F:$F,Proyecciones!$A:$A,$A7,Proyecciones!$B:$B,$C7))*IF($B7="REAL",1,IF(Resumen!$B$5="Conservador",Supuestos!$B$5,IF(Resumen!$B$5="Optimista",Supuestos!$B$7,Supuestos!$B$6)))</x:f>
        <x:v>0</x:v>
      </x:c>
      <x:c r="H7" s="16" t="n">
        <x:f>IF($B7="REAL",SUMIFS(Carga_Reales!$G:$G,Carga_Reales!$A:$A,$A7,Carga_Reales!$B:$B,$C7),SUMIFS(Proyecciones!$G:$G,Proyecciones!$A:$A,$A7,Proyecciones!$B:$B,$C7))*IF($B7="REAL",1,IF(Resumen!$B$5="Conservador",Supuestos!$B$5,IF(Resumen!$B$5="Optimista",Supuestos!$B$7,Supuestos!$B$6)))</x:f>
        <x:v>0</x:v>
      </x:c>
      <x:c r="I7" s="16" t="n">
        <x:f>IF($B7="REAL",SUMIFS(Carga_Reales!$H:$H,Carga_Reales!$A:$A,$A7,Carga_Reales!$B:$B,$C7),SUMIFS(Proyecciones!$H:$H,Proyecciones!$A:$A,$A7,Proyecciones!$B:$B,$C7))*IF($B7="REAL",1,IF(Resumen!$B$5="Conservador",Supuestos!$B$5,IF(Resumen!$B$5="Optimista",Supuestos!$B$7,Supuestos!$B$6)))</x:f>
        <x:v>0</x:v>
      </x:c>
      <x:c r="J7" s="16" t="n">
        <x:f>IF($B7="REAL",SUMIFS(Carga_Reales!$I:$I,Carga_Reales!$A:$A,$A7,Carga_Reales!$B:$B,$C7),SUMIFS(Proyecciones!$I:$I,Proyecciones!$A:$A,$A7,Proyecciones!$B:$B,$C7))*IF($B7="REAL",1,IF(Resumen!$B$5="Conservador",Supuestos!$B$5,IF(Resumen!$B$5="Optimista",Supuestos!$B$7,Supuestos!$B$6)))</x:f>
        <x:v>0</x:v>
      </x:c>
      <x:c r="K7" s="16" t="n">
        <x:f>IF($B7="REAL",SUMIFS(Carga_Reales!$J:$J,Carga_Reales!$A:$A,$A7,Carga_Reales!$B:$B,$C7),SUMIFS(Proyecciones!$J:$J,Proyecciones!$A:$A,$A7,Proyecciones!$B:$B,$C7))*IF($B7="REAL",1,IF(Resumen!$B$5="Conservador",Supuestos!$B$5,IF(Resumen!$B$5="Optimista",Supuestos!$B$7,Supuestos!$B$6)))</x:f>
        <x:v>0</x:v>
      </x:c>
      <x:c r="L7" s="16" t="n">
        <x:f>IF($B7="REAL",SUMIFS(Carga_Reales!$K:$K,Carga_Reales!$A:$A,$A7,Carga_Reales!$B:$B,$C7),SUMIFS(Proyecciones!$K:$K,Proyecciones!$A:$A,$A7,Proyecciones!$B:$B,$C7))*IF($B7="REAL",1,IF(Resumen!$B$5="Conservador",Supuestos!$E$5,IF(Resumen!$B$5="Optimista",Supuestos!$E$7,Supuestos!$E$6)))</x:f>
        <x:v>0</x:v>
      </x:c>
      <x:c r="M7" s="16" t="n">
        <x:f>IF($B7="REAL",SUMIFS(Carga_Reales!$L:$L,Carga_Reales!$A:$A,$A7,Carga_Reales!$B:$B,$C7),SUMIFS(Proyecciones!$L:$L,Proyecciones!$A:$A,$A7,Proyecciones!$B:$B,$C7))*IF($B7="REAL",1,IF(Resumen!$B$5="Conservador",Supuestos!$E$5,IF(Resumen!$B$5="Optimista",Supuestos!$E$7,Supuestos!$E$6)))</x:f>
        <x:v>0</x:v>
      </x:c>
      <x:c r="N7" s="16" t="n">
        <x:f>E7+G7+H7+I7+J7+K7</x:f>
        <x:v>0</x:v>
      </x:c>
      <x:c r="O7" s="16" t="n">
        <x:f>E7-F7+G7+H7+I7+J7+K7-L7-M7</x:f>
        <x:v>0</x:v>
      </x:c>
      <x:c r="P7" s="16" t="n">
        <x:f>O7-IF($B7="REAL",SUMIFS(Carga_Reales!$M:$M,Carga_Reales!$A:$A,$A7,Carga_Reales!$B:$B,$C7),SUMIFS(Proyecciones!$M:$M,Proyecciones!$A:$A,$A7,Proyecciones!$B:$B,$C7))-IF($B7="REAL",SUMIFS(Carga_Reales!$N:$N,Carga_Reales!$A:$A,$A7,Carga_Reales!$B:$B,$C7),SUMIFS(Proyecciones!$N:$N,Proyecciones!$A:$A,$A7,Proyecciones!$B:$B,$C7))</x:f>
        <x:v>0</x:v>
      </x:c>
      <x:c r="Q7" s="16" t="n">
        <x:f>IF($B7="REAL",SUMIFS(Carga_Reales!$O:$O,Carga_Reales!$A:$A,$A7,Carga_Reales!$B:$B,$C7),SUMIFS(Proyecciones!$O:$O,Proyecciones!$A:$A,$A7,Proyecciones!$B:$B,$C7))</x:f>
        <x:v>0</x:v>
      </x:c>
      <x:c r="R7" s="16" t="n">
        <x:f>O7-Q7</x:f>
        <x:v>0</x:v>
      </x:c>
      <x:c r="S7" s="16" t="n">
        <x:f>E7-F7</x:f>
        <x:v>0</x:v>
      </x:c>
      <x:c r="T7" s="16" t="n">
        <x:f>L7+M7</x:f>
        <x:v>0</x:v>
      </x:c>
      <x:c r="U7" t="n">
        <x:f>IFERROR((L7+M7)/MAX(1,(S7+G7)/MAX(1,D7)),0)</x:f>
        <x:v>0</x:v>
      </x:c>
    </x:row>
    <x:row r="8">
      <x:c r="A8" s="26" t="n">
        <x:v>46054</x:v>
      </x:c>
      <x:c r="B8" t="str">
        <x:f>IF(EOMONTH($A8,0)&lt;=Resumen!$B$4,"REAL","PROYECTADO")</x:f>
        <x:v>REAL</x:v>
      </x:c>
      <x:c r="C8" t="str">
        <x:v>Moto para Todos</x:v>
      </x:c>
      <x:c r="D8" s="15" t="n">
        <x:f>IF($B8="REAL",SUMIFS(Carga_Reales!$C:$C,Carga_Reales!$A:$A,$A8,Carga_Reales!$B:$B,$C8),SUMIFS(Proyecciones!$C:$C,Proyecciones!$A:$A,$A8,Proyecciones!$B:$B,$C8))*IF($B8="REAL",1,IF(Resumen!$B$5="Conservador",Supuestos!$B$5,IF(Resumen!$B$5="Optimista",Supuestos!$B$7,Supuestos!$B$6)))</x:f>
        <x:v>0</x:v>
      </x:c>
      <x:c r="E8" s="16" t="n">
        <x:f>IF($B8="REAL",SUMIFS(Carga_Reales!$D:$D,Carga_Reales!$A:$A,$A8,Carga_Reales!$B:$B,$C8),SUMIFS(Proyecciones!$D:$D,Proyecciones!$A:$A,$A8,Proyecciones!$B:$B,$C8))*IF($B8="REAL",1,IF(Resumen!$B$5="Conservador",Supuestos!$B$5,IF(Resumen!$B$5="Optimista",Supuestos!$B$7,Supuestos!$B$6))*IF(Resumen!$B$5="Conservador",Supuestos!$C$5,IF(Resumen!$B$5="Optimista",Supuestos!$C$7,Supuestos!$C$6)))</x:f>
        <x:v>0</x:v>
      </x:c>
      <x:c r="F8" s="16" t="n">
        <x:f>IF($B8="REAL",SUMIFS(Carga_Reales!$E:$E,Carga_Reales!$A:$A,$A8,Carga_Reales!$B:$B,$C8),SUMIFS(Proyecciones!$E:$E,Proyecciones!$A:$A,$A8,Proyecciones!$B:$B,$C8))*IF($B8="REAL",1,IF(Resumen!$B$5="Conservador",Supuestos!$B$5,IF(Resumen!$B$5="Optimista",Supuestos!$B$7,Supuestos!$B$6))*IF(Resumen!$B$5="Conservador",Supuestos!$D$5,IF(Resumen!$B$5="Optimista",Supuestos!$D$7,Supuestos!$D$6)))</x:f>
        <x:v>0</x:v>
      </x:c>
      <x:c r="G8" s="16" t="n">
        <x:f>IF($B8="REAL",SUMIFS(Carga_Reales!$F:$F,Carga_Reales!$A:$A,$A8,Carga_Reales!$B:$B,$C8),SUMIFS(Proyecciones!$F:$F,Proyecciones!$A:$A,$A8,Proyecciones!$B:$B,$C8))*IF($B8="REAL",1,IF(Resumen!$B$5="Conservador",Supuestos!$B$5,IF(Resumen!$B$5="Optimista",Supuestos!$B$7,Supuestos!$B$6)))</x:f>
        <x:v>0</x:v>
      </x:c>
      <x:c r="H8" s="16" t="n">
        <x:f>IF($B8="REAL",SUMIFS(Carga_Reales!$G:$G,Carga_Reales!$A:$A,$A8,Carga_Reales!$B:$B,$C8),SUMIFS(Proyecciones!$G:$G,Proyecciones!$A:$A,$A8,Proyecciones!$B:$B,$C8))*IF($B8="REAL",1,IF(Resumen!$B$5="Conservador",Supuestos!$B$5,IF(Resumen!$B$5="Optimista",Supuestos!$B$7,Supuestos!$B$6)))</x:f>
        <x:v>0</x:v>
      </x:c>
      <x:c r="I8" s="16" t="n">
        <x:f>IF($B8="REAL",SUMIFS(Carga_Reales!$H:$H,Carga_Reales!$A:$A,$A8,Carga_Reales!$B:$B,$C8),SUMIFS(Proyecciones!$H:$H,Proyecciones!$A:$A,$A8,Proyecciones!$B:$B,$C8))*IF($B8="REAL",1,IF(Resumen!$B$5="Conservador",Supuestos!$B$5,IF(Resumen!$B$5="Optimista",Supuestos!$B$7,Supuestos!$B$6)))</x:f>
        <x:v>0</x:v>
      </x:c>
      <x:c r="J8" s="16" t="n">
        <x:f>IF($B8="REAL",SUMIFS(Carga_Reales!$I:$I,Carga_Reales!$A:$A,$A8,Carga_Reales!$B:$B,$C8),SUMIFS(Proyecciones!$I:$I,Proyecciones!$A:$A,$A8,Proyecciones!$B:$B,$C8))*IF($B8="REAL",1,IF(Resumen!$B$5="Conservador",Supuestos!$B$5,IF(Resumen!$B$5="Optimista",Supuestos!$B$7,Supuestos!$B$6)))</x:f>
        <x:v>0</x:v>
      </x:c>
      <x:c r="K8" s="16" t="n">
        <x:f>IF($B8="REAL",SUMIFS(Carga_Reales!$J:$J,Carga_Reales!$A:$A,$A8,Carga_Reales!$B:$B,$C8),SUMIFS(Proyecciones!$J:$J,Proyecciones!$A:$A,$A8,Proyecciones!$B:$B,$C8))*IF($B8="REAL",1,IF(Resumen!$B$5="Conservador",Supuestos!$B$5,IF(Resumen!$B$5="Optimista",Supuestos!$B$7,Supuestos!$B$6)))</x:f>
        <x:v>0</x:v>
      </x:c>
      <x:c r="L8" s="16" t="n">
        <x:f>IF($B8="REAL",SUMIFS(Carga_Reales!$K:$K,Carga_Reales!$A:$A,$A8,Carga_Reales!$B:$B,$C8),SUMIFS(Proyecciones!$K:$K,Proyecciones!$A:$A,$A8,Proyecciones!$B:$B,$C8))*IF($B8="REAL",1,IF(Resumen!$B$5="Conservador",Supuestos!$E$5,IF(Resumen!$B$5="Optimista",Supuestos!$E$7,Supuestos!$E$6)))</x:f>
        <x:v>0</x:v>
      </x:c>
      <x:c r="M8" s="16" t="n">
        <x:f>IF($B8="REAL",SUMIFS(Carga_Reales!$L:$L,Carga_Reales!$A:$A,$A8,Carga_Reales!$B:$B,$C8),SUMIFS(Proyecciones!$L:$L,Proyecciones!$A:$A,$A8,Proyecciones!$B:$B,$C8))*IF($B8="REAL",1,IF(Resumen!$B$5="Conservador",Supuestos!$E$5,IF(Resumen!$B$5="Optimista",Supuestos!$E$7,Supuestos!$E$6)))</x:f>
        <x:v>0</x:v>
      </x:c>
      <x:c r="N8" s="16" t="n">
        <x:f>E8+G8+H8+I8+J8+K8</x:f>
        <x:v>0</x:v>
      </x:c>
      <x:c r="O8" s="16" t="n">
        <x:f>E8-F8+G8+H8+I8+J8+K8-L8-M8</x:f>
        <x:v>0</x:v>
      </x:c>
      <x:c r="P8" s="16" t="n">
        <x:f>O8-IF($B8="REAL",SUMIFS(Carga_Reales!$M:$M,Carga_Reales!$A:$A,$A8,Carga_Reales!$B:$B,$C8),SUMIFS(Proyecciones!$M:$M,Proyecciones!$A:$A,$A8,Proyecciones!$B:$B,$C8))-IF($B8="REAL",SUMIFS(Carga_Reales!$N:$N,Carga_Reales!$A:$A,$A8,Carga_Reales!$B:$B,$C8),SUMIFS(Proyecciones!$N:$N,Proyecciones!$A:$A,$A8,Proyecciones!$B:$B,$C8))</x:f>
        <x:v>0</x:v>
      </x:c>
      <x:c r="Q8" s="16" t="n">
        <x:f>IF($B8="REAL",SUMIFS(Carga_Reales!$O:$O,Carga_Reales!$A:$A,$A8,Carga_Reales!$B:$B,$C8),SUMIFS(Proyecciones!$O:$O,Proyecciones!$A:$A,$A8,Proyecciones!$B:$B,$C8))</x:f>
        <x:v>0</x:v>
      </x:c>
      <x:c r="R8" s="16" t="n">
        <x:f>O8-Q8</x:f>
        <x:v>0</x:v>
      </x:c>
      <x:c r="S8" s="16" t="n">
        <x:f>E8-F8</x:f>
        <x:v>0</x:v>
      </x:c>
      <x:c r="T8" s="16" t="n">
        <x:f>L8+M8</x:f>
        <x:v>0</x:v>
      </x:c>
      <x:c r="U8" t="n">
        <x:f>IFERROR((L8+M8)/MAX(1,(S8+G8)/MAX(1,D8)),0)</x:f>
        <x:v>0</x:v>
      </x:c>
    </x:row>
    <x:row r="9">
      <x:c r="A9" s="26" t="n">
        <x:v>46054</x:v>
      </x:c>
      <x:c r="B9" t="str">
        <x:f>IF(EOMONTH($A9,0)&lt;=Resumen!$B$4,"REAL","PROYECTADO")</x:f>
        <x:v>REAL</x:v>
      </x:c>
      <x:c r="C9" t="str">
        <x:v>Verificarte</x:v>
      </x:c>
      <x:c r="D9" s="15" t="n">
        <x:f>IF($B9="REAL",SUMIFS(Carga_Reales!$C:$C,Carga_Reales!$A:$A,$A9,Carga_Reales!$B:$B,$C9),SUMIFS(Proyecciones!$C:$C,Proyecciones!$A:$A,$A9,Proyecciones!$B:$B,$C9))*IF($B9="REAL",1,IF(Resumen!$B$5="Conservador",Supuestos!$B$5,IF(Resumen!$B$5="Optimista",Supuestos!$B$7,Supuestos!$B$6)))</x:f>
        <x:v>0</x:v>
      </x:c>
      <x:c r="E9" s="16" t="n">
        <x:f>IF($B9="REAL",SUMIFS(Carga_Reales!$D:$D,Carga_Reales!$A:$A,$A9,Carga_Reales!$B:$B,$C9),SUMIFS(Proyecciones!$D:$D,Proyecciones!$A:$A,$A9,Proyecciones!$B:$B,$C9))*IF($B9="REAL",1,IF(Resumen!$B$5="Conservador",Supuestos!$B$5,IF(Resumen!$B$5="Optimista",Supuestos!$B$7,Supuestos!$B$6))*IF(Resumen!$B$5="Conservador",Supuestos!$C$5,IF(Resumen!$B$5="Optimista",Supuestos!$C$7,Supuestos!$C$6)))</x:f>
        <x:v>0</x:v>
      </x:c>
      <x:c r="F9" s="16" t="n">
        <x:f>IF($B9="REAL",SUMIFS(Carga_Reales!$E:$E,Carga_Reales!$A:$A,$A9,Carga_Reales!$B:$B,$C9),SUMIFS(Proyecciones!$E:$E,Proyecciones!$A:$A,$A9,Proyecciones!$B:$B,$C9))*IF($B9="REAL",1,IF(Resumen!$B$5="Conservador",Supuestos!$B$5,IF(Resumen!$B$5="Optimista",Supuestos!$B$7,Supuestos!$B$6))*IF(Resumen!$B$5="Conservador",Supuestos!$D$5,IF(Resumen!$B$5="Optimista",Supuestos!$D$7,Supuestos!$D$6)))</x:f>
        <x:v>0</x:v>
      </x:c>
      <x:c r="G9" s="16" t="n">
        <x:f>IF($B9="REAL",SUMIFS(Carga_Reales!$F:$F,Carga_Reales!$A:$A,$A9,Carga_Reales!$B:$B,$C9),SUMIFS(Proyecciones!$F:$F,Proyecciones!$A:$A,$A9,Proyecciones!$B:$B,$C9))*IF($B9="REAL",1,IF(Resumen!$B$5="Conservador",Supuestos!$B$5,IF(Resumen!$B$5="Optimista",Supuestos!$B$7,Supuestos!$B$6)))</x:f>
        <x:v>0</x:v>
      </x:c>
      <x:c r="H9" s="16" t="n">
        <x:f>IF($B9="REAL",SUMIFS(Carga_Reales!$G:$G,Carga_Reales!$A:$A,$A9,Carga_Reales!$B:$B,$C9),SUMIFS(Proyecciones!$G:$G,Proyecciones!$A:$A,$A9,Proyecciones!$B:$B,$C9))*IF($B9="REAL",1,IF(Resumen!$B$5="Conservador",Supuestos!$B$5,IF(Resumen!$B$5="Optimista",Supuestos!$B$7,Supuestos!$B$6)))</x:f>
        <x:v>0</x:v>
      </x:c>
      <x:c r="I9" s="16" t="n">
        <x:f>IF($B9="REAL",SUMIFS(Carga_Reales!$H:$H,Carga_Reales!$A:$A,$A9,Carga_Reales!$B:$B,$C9),SUMIFS(Proyecciones!$H:$H,Proyecciones!$A:$A,$A9,Proyecciones!$B:$B,$C9))*IF($B9="REAL",1,IF(Resumen!$B$5="Conservador",Supuestos!$B$5,IF(Resumen!$B$5="Optimista",Supuestos!$B$7,Supuestos!$B$6)))</x:f>
        <x:v>0</x:v>
      </x:c>
      <x:c r="J9" s="16" t="n">
        <x:f>IF($B9="REAL",SUMIFS(Carga_Reales!$I:$I,Carga_Reales!$A:$A,$A9,Carga_Reales!$B:$B,$C9),SUMIFS(Proyecciones!$I:$I,Proyecciones!$A:$A,$A9,Proyecciones!$B:$B,$C9))*IF($B9="REAL",1,IF(Resumen!$B$5="Conservador",Supuestos!$B$5,IF(Resumen!$B$5="Optimista",Supuestos!$B$7,Supuestos!$B$6)))</x:f>
        <x:v>0</x:v>
      </x:c>
      <x:c r="K9" s="16" t="n">
        <x:f>IF($B9="REAL",SUMIFS(Carga_Reales!$J:$J,Carga_Reales!$A:$A,$A9,Carga_Reales!$B:$B,$C9),SUMIFS(Proyecciones!$J:$J,Proyecciones!$A:$A,$A9,Proyecciones!$B:$B,$C9))*IF($B9="REAL",1,IF(Resumen!$B$5="Conservador",Supuestos!$B$5,IF(Resumen!$B$5="Optimista",Supuestos!$B$7,Supuestos!$B$6)))</x:f>
        <x:v>0</x:v>
      </x:c>
      <x:c r="L9" s="16" t="n">
        <x:f>IF($B9="REAL",SUMIFS(Carga_Reales!$K:$K,Carga_Reales!$A:$A,$A9,Carga_Reales!$B:$B,$C9),SUMIFS(Proyecciones!$K:$K,Proyecciones!$A:$A,$A9,Proyecciones!$B:$B,$C9))*IF($B9="REAL",1,IF(Resumen!$B$5="Conservador",Supuestos!$E$5,IF(Resumen!$B$5="Optimista",Supuestos!$E$7,Supuestos!$E$6)))</x:f>
        <x:v>0</x:v>
      </x:c>
      <x:c r="M9" s="16" t="n">
        <x:f>IF($B9="REAL",SUMIFS(Carga_Reales!$L:$L,Carga_Reales!$A:$A,$A9,Carga_Reales!$B:$B,$C9),SUMIFS(Proyecciones!$L:$L,Proyecciones!$A:$A,$A9,Proyecciones!$B:$B,$C9))*IF($B9="REAL",1,IF(Resumen!$B$5="Conservador",Supuestos!$E$5,IF(Resumen!$B$5="Optimista",Supuestos!$E$7,Supuestos!$E$6)))</x:f>
        <x:v>0</x:v>
      </x:c>
      <x:c r="N9" s="16" t="n">
        <x:f>E9+G9+H9+I9+J9+K9</x:f>
        <x:v>0</x:v>
      </x:c>
      <x:c r="O9" s="16" t="n">
        <x:f>E9-F9+G9+H9+I9+J9+K9-L9-M9</x:f>
        <x:v>0</x:v>
      </x:c>
      <x:c r="P9" s="16" t="n">
        <x:f>O9-IF($B9="REAL",SUMIFS(Carga_Reales!$M:$M,Carga_Reales!$A:$A,$A9,Carga_Reales!$B:$B,$C9),SUMIFS(Proyecciones!$M:$M,Proyecciones!$A:$A,$A9,Proyecciones!$B:$B,$C9))-IF($B9="REAL",SUMIFS(Carga_Reales!$N:$N,Carga_Reales!$A:$A,$A9,Carga_Reales!$B:$B,$C9),SUMIFS(Proyecciones!$N:$N,Proyecciones!$A:$A,$A9,Proyecciones!$B:$B,$C9))</x:f>
        <x:v>0</x:v>
      </x:c>
      <x:c r="Q9" s="16" t="n">
        <x:f>IF($B9="REAL",SUMIFS(Carga_Reales!$O:$O,Carga_Reales!$A:$A,$A9,Carga_Reales!$B:$B,$C9),SUMIFS(Proyecciones!$O:$O,Proyecciones!$A:$A,$A9,Proyecciones!$B:$B,$C9))</x:f>
        <x:v>0</x:v>
      </x:c>
      <x:c r="R9" s="16" t="n">
        <x:f>O9-Q9</x:f>
        <x:v>0</x:v>
      </x:c>
      <x:c r="S9" s="16" t="n">
        <x:f>E9-F9</x:f>
        <x:v>0</x:v>
      </x:c>
      <x:c r="T9" s="16" t="n">
        <x:f>L9+M9</x:f>
        <x:v>0</x:v>
      </x:c>
      <x:c r="U9" t="n">
        <x:f>IFERROR((L9+M9)/MAX(1,(S9+G9)/MAX(1,D9)),0)</x:f>
        <x:v>0</x:v>
      </x:c>
    </x:row>
    <x:row r="10">
      <x:c r="A10" s="26" t="n">
        <x:v>46054</x:v>
      </x:c>
      <x:c r="B10" t="str">
        <x:f>IF(EOMONTH($A10,0)&lt;=Resumen!$B$4,"REAL","PROYECTADO")</x:f>
        <x:v>REAL</x:v>
      </x:c>
      <x:c r="C10" t="str">
        <x:v>TuClick</x:v>
      </x:c>
      <x:c r="D10" s="15" t="n">
        <x:f>IF($B10="REAL",SUMIFS(Carga_Reales!$C:$C,Carga_Reales!$A:$A,$A10,Carga_Reales!$B:$B,$C10),SUMIFS(Proyecciones!$C:$C,Proyecciones!$A:$A,$A10,Proyecciones!$B:$B,$C10))*IF($B10="REAL",1,IF(Resumen!$B$5="Conservador",Supuestos!$B$5,IF(Resumen!$B$5="Optimista",Supuestos!$B$7,Supuestos!$B$6)))</x:f>
        <x:v>0</x:v>
      </x:c>
      <x:c r="E10" s="16" t="n">
        <x:f>IF($B10="REAL",SUMIFS(Carga_Reales!$D:$D,Carga_Reales!$A:$A,$A10,Carga_Reales!$B:$B,$C10),SUMIFS(Proyecciones!$D:$D,Proyecciones!$A:$A,$A10,Proyecciones!$B:$B,$C10))*IF($B10="REAL",1,IF(Resumen!$B$5="Conservador",Supuestos!$B$5,IF(Resumen!$B$5="Optimista",Supuestos!$B$7,Supuestos!$B$6))*IF(Resumen!$B$5="Conservador",Supuestos!$C$5,IF(Resumen!$B$5="Optimista",Supuestos!$C$7,Supuestos!$C$6)))</x:f>
        <x:v>0</x:v>
      </x:c>
      <x:c r="F10" s="16" t="n">
        <x:f>IF($B10="REAL",SUMIFS(Carga_Reales!$E:$E,Carga_Reales!$A:$A,$A10,Carga_Reales!$B:$B,$C10),SUMIFS(Proyecciones!$E:$E,Proyecciones!$A:$A,$A10,Proyecciones!$B:$B,$C10))*IF($B10="REAL",1,IF(Resumen!$B$5="Conservador",Supuestos!$B$5,IF(Resumen!$B$5="Optimista",Supuestos!$B$7,Supuestos!$B$6))*IF(Resumen!$B$5="Conservador",Supuestos!$D$5,IF(Resumen!$B$5="Optimista",Supuestos!$D$7,Supuestos!$D$6)))</x:f>
        <x:v>0</x:v>
      </x:c>
      <x:c r="G10" s="16" t="n">
        <x:f>IF($B10="REAL",SUMIFS(Carga_Reales!$F:$F,Carga_Reales!$A:$A,$A10,Carga_Reales!$B:$B,$C10),SUMIFS(Proyecciones!$F:$F,Proyecciones!$A:$A,$A10,Proyecciones!$B:$B,$C10))*IF($B10="REAL",1,IF(Resumen!$B$5="Conservador",Supuestos!$B$5,IF(Resumen!$B$5="Optimista",Supuestos!$B$7,Supuestos!$B$6)))</x:f>
        <x:v>0</x:v>
      </x:c>
      <x:c r="H10" s="16" t="n">
        <x:f>IF($B10="REAL",SUMIFS(Carga_Reales!$G:$G,Carga_Reales!$A:$A,$A10,Carga_Reales!$B:$B,$C10),SUMIFS(Proyecciones!$G:$G,Proyecciones!$A:$A,$A10,Proyecciones!$B:$B,$C10))*IF($B10="REAL",1,IF(Resumen!$B$5="Conservador",Supuestos!$B$5,IF(Resumen!$B$5="Optimista",Supuestos!$B$7,Supuestos!$B$6)))</x:f>
        <x:v>0</x:v>
      </x:c>
      <x:c r="I10" s="16" t="n">
        <x:f>IF($B10="REAL",SUMIFS(Carga_Reales!$H:$H,Carga_Reales!$A:$A,$A10,Carga_Reales!$B:$B,$C10),SUMIFS(Proyecciones!$H:$H,Proyecciones!$A:$A,$A10,Proyecciones!$B:$B,$C10))*IF($B10="REAL",1,IF(Resumen!$B$5="Conservador",Supuestos!$B$5,IF(Resumen!$B$5="Optimista",Supuestos!$B$7,Supuestos!$B$6)))</x:f>
        <x:v>0</x:v>
      </x:c>
      <x:c r="J10" s="16" t="n">
        <x:f>IF($B10="REAL",SUMIFS(Carga_Reales!$I:$I,Carga_Reales!$A:$A,$A10,Carga_Reales!$B:$B,$C10),SUMIFS(Proyecciones!$I:$I,Proyecciones!$A:$A,$A10,Proyecciones!$B:$B,$C10))*IF($B10="REAL",1,IF(Resumen!$B$5="Conservador",Supuestos!$B$5,IF(Resumen!$B$5="Optimista",Supuestos!$B$7,Supuestos!$B$6)))</x:f>
        <x:v>0</x:v>
      </x:c>
      <x:c r="K10" s="16" t="n">
        <x:f>IF($B10="REAL",SUMIFS(Carga_Reales!$J:$J,Carga_Reales!$A:$A,$A10,Carga_Reales!$B:$B,$C10),SUMIFS(Proyecciones!$J:$J,Proyecciones!$A:$A,$A10,Proyecciones!$B:$B,$C10))*IF($B10="REAL",1,IF(Resumen!$B$5="Conservador",Supuestos!$B$5,IF(Resumen!$B$5="Optimista",Supuestos!$B$7,Supuestos!$B$6)))</x:f>
        <x:v>0</x:v>
      </x:c>
      <x:c r="L10" s="16" t="n">
        <x:f>IF($B10="REAL",SUMIFS(Carga_Reales!$K:$K,Carga_Reales!$A:$A,$A10,Carga_Reales!$B:$B,$C10),SUMIFS(Proyecciones!$K:$K,Proyecciones!$A:$A,$A10,Proyecciones!$B:$B,$C10))*IF($B10="REAL",1,IF(Resumen!$B$5="Conservador",Supuestos!$E$5,IF(Resumen!$B$5="Optimista",Supuestos!$E$7,Supuestos!$E$6)))</x:f>
        <x:v>0</x:v>
      </x:c>
      <x:c r="M10" s="16" t="n">
        <x:f>IF($B10="REAL",SUMIFS(Carga_Reales!$L:$L,Carga_Reales!$A:$A,$A10,Carga_Reales!$B:$B,$C10),SUMIFS(Proyecciones!$L:$L,Proyecciones!$A:$A,$A10,Proyecciones!$B:$B,$C10))*IF($B10="REAL",1,IF(Resumen!$B$5="Conservador",Supuestos!$E$5,IF(Resumen!$B$5="Optimista",Supuestos!$E$7,Supuestos!$E$6)))</x:f>
        <x:v>0</x:v>
      </x:c>
      <x:c r="N10" s="16" t="n">
        <x:f>E10+G10+H10+I10+J10+K10</x:f>
        <x:v>0</x:v>
      </x:c>
      <x:c r="O10" s="16" t="n">
        <x:f>E10-F10+G10+H10+I10+J10+K10-L10-M10</x:f>
        <x:v>0</x:v>
      </x:c>
      <x:c r="P10" s="16" t="n">
        <x:f>O10-IF($B10="REAL",SUMIFS(Carga_Reales!$M:$M,Carga_Reales!$A:$A,$A10,Carga_Reales!$B:$B,$C10),SUMIFS(Proyecciones!$M:$M,Proyecciones!$A:$A,$A10,Proyecciones!$B:$B,$C10))-IF($B10="REAL",SUMIFS(Carga_Reales!$N:$N,Carga_Reales!$A:$A,$A10,Carga_Reales!$B:$B,$C10),SUMIFS(Proyecciones!$N:$N,Proyecciones!$A:$A,$A10,Proyecciones!$B:$B,$C10))</x:f>
        <x:v>0</x:v>
      </x:c>
      <x:c r="Q10" s="16" t="n">
        <x:f>IF($B10="REAL",SUMIFS(Carga_Reales!$O:$O,Carga_Reales!$A:$A,$A10,Carga_Reales!$B:$B,$C10),SUMIFS(Proyecciones!$O:$O,Proyecciones!$A:$A,$A10,Proyecciones!$B:$B,$C10))</x:f>
        <x:v>0</x:v>
      </x:c>
      <x:c r="R10" s="16" t="n">
        <x:f>O10-Q10</x:f>
        <x:v>0</x:v>
      </x:c>
      <x:c r="S10" s="16" t="n">
        <x:f>E10-F10</x:f>
        <x:v>0</x:v>
      </x:c>
      <x:c r="T10" s="16" t="n">
        <x:f>L10+M10</x:f>
        <x:v>0</x:v>
      </x:c>
      <x:c r="U10" t="n">
        <x:f>IFERROR((L10+M10)/MAX(1,(S10+G10)/MAX(1,D10)),0)</x:f>
        <x:v>0</x:v>
      </x:c>
    </x:row>
    <x:row r="11">
      <x:c r="A11" s="26" t="n">
        <x:v>46082</x:v>
      </x:c>
      <x:c r="B11" t="str">
        <x:f>IF(EOMONTH($A11,0)&lt;=Resumen!$B$4,"REAL","PROYECTADO")</x:f>
        <x:v>REAL</x:v>
      </x:c>
      <x:c r="C11" t="str">
        <x:v>Moto para Todos</x:v>
      </x:c>
      <x:c r="D11" s="15" t="n">
        <x:f>IF($B11="REAL",SUMIFS(Carga_Reales!$C:$C,Carga_Reales!$A:$A,$A11,Carga_Reales!$B:$B,$C11),SUMIFS(Proyecciones!$C:$C,Proyecciones!$A:$A,$A11,Proyecciones!$B:$B,$C11))*IF($B11="REAL",1,IF(Resumen!$B$5="Conservador",Supuestos!$B$5,IF(Resumen!$B$5="Optimista",Supuestos!$B$7,Supuestos!$B$6)))</x:f>
        <x:v>0</x:v>
      </x:c>
      <x:c r="E11" s="16" t="n">
        <x:f>IF($B11="REAL",SUMIFS(Carga_Reales!$D:$D,Carga_Reales!$A:$A,$A11,Carga_Reales!$B:$B,$C11),SUMIFS(Proyecciones!$D:$D,Proyecciones!$A:$A,$A11,Proyecciones!$B:$B,$C11))*IF($B11="REAL",1,IF(Resumen!$B$5="Conservador",Supuestos!$B$5,IF(Resumen!$B$5="Optimista",Supuestos!$B$7,Supuestos!$B$6))*IF(Resumen!$B$5="Conservador",Supuestos!$C$5,IF(Resumen!$B$5="Optimista",Supuestos!$C$7,Supuestos!$C$6)))</x:f>
        <x:v>0</x:v>
      </x:c>
      <x:c r="F11" s="16" t="n">
        <x:f>IF($B11="REAL",SUMIFS(Carga_Reales!$E:$E,Carga_Reales!$A:$A,$A11,Carga_Reales!$B:$B,$C11),SUMIFS(Proyecciones!$E:$E,Proyecciones!$A:$A,$A11,Proyecciones!$B:$B,$C11))*IF($B11="REAL",1,IF(Resumen!$B$5="Conservador",Supuestos!$B$5,IF(Resumen!$B$5="Optimista",Supuestos!$B$7,Supuestos!$B$6))*IF(Resumen!$B$5="Conservador",Supuestos!$D$5,IF(Resumen!$B$5="Optimista",Supuestos!$D$7,Supuestos!$D$6)))</x:f>
        <x:v>0</x:v>
      </x:c>
      <x:c r="G11" s="16" t="n">
        <x:f>IF($B11="REAL",SUMIFS(Carga_Reales!$F:$F,Carga_Reales!$A:$A,$A11,Carga_Reales!$B:$B,$C11),SUMIFS(Proyecciones!$F:$F,Proyecciones!$A:$A,$A11,Proyecciones!$B:$B,$C11))*IF($B11="REAL",1,IF(Resumen!$B$5="Conservador",Supuestos!$B$5,IF(Resumen!$B$5="Optimista",Supuestos!$B$7,Supuestos!$B$6)))</x:f>
        <x:v>0</x:v>
      </x:c>
      <x:c r="H11" s="16" t="n">
        <x:f>IF($B11="REAL",SUMIFS(Carga_Reales!$G:$G,Carga_Reales!$A:$A,$A11,Carga_Reales!$B:$B,$C11),SUMIFS(Proyecciones!$G:$G,Proyecciones!$A:$A,$A11,Proyecciones!$B:$B,$C11))*IF($B11="REAL",1,IF(Resumen!$B$5="Conservador",Supuestos!$B$5,IF(Resumen!$B$5="Optimista",Supuestos!$B$7,Supuestos!$B$6)))</x:f>
        <x:v>0</x:v>
      </x:c>
      <x:c r="I11" s="16" t="n">
        <x:f>IF($B11="REAL",SUMIFS(Carga_Reales!$H:$H,Carga_Reales!$A:$A,$A11,Carga_Reales!$B:$B,$C11),SUMIFS(Proyecciones!$H:$H,Proyecciones!$A:$A,$A11,Proyecciones!$B:$B,$C11))*IF($B11="REAL",1,IF(Resumen!$B$5="Conservador",Supuestos!$B$5,IF(Resumen!$B$5="Optimista",Supuestos!$B$7,Supuestos!$B$6)))</x:f>
        <x:v>0</x:v>
      </x:c>
      <x:c r="J11" s="16" t="n">
        <x:f>IF($B11="REAL",SUMIFS(Carga_Reales!$I:$I,Carga_Reales!$A:$A,$A11,Carga_Reales!$B:$B,$C11),SUMIFS(Proyecciones!$I:$I,Proyecciones!$A:$A,$A11,Proyecciones!$B:$B,$C11))*IF($B11="REAL",1,IF(Resumen!$B$5="Conservador",Supuestos!$B$5,IF(Resumen!$B$5="Optimista",Supuestos!$B$7,Supuestos!$B$6)))</x:f>
        <x:v>0</x:v>
      </x:c>
      <x:c r="K11" s="16" t="n">
        <x:f>IF($B11="REAL",SUMIFS(Carga_Reales!$J:$J,Carga_Reales!$A:$A,$A11,Carga_Reales!$B:$B,$C11),SUMIFS(Proyecciones!$J:$J,Proyecciones!$A:$A,$A11,Proyecciones!$B:$B,$C11))*IF($B11="REAL",1,IF(Resumen!$B$5="Conservador",Supuestos!$B$5,IF(Resumen!$B$5="Optimista",Supuestos!$B$7,Supuestos!$B$6)))</x:f>
        <x:v>0</x:v>
      </x:c>
      <x:c r="L11" s="16" t="n">
        <x:f>IF($B11="REAL",SUMIFS(Carga_Reales!$K:$K,Carga_Reales!$A:$A,$A11,Carga_Reales!$B:$B,$C11),SUMIFS(Proyecciones!$K:$K,Proyecciones!$A:$A,$A11,Proyecciones!$B:$B,$C11))*IF($B11="REAL",1,IF(Resumen!$B$5="Conservador",Supuestos!$E$5,IF(Resumen!$B$5="Optimista",Supuestos!$E$7,Supuestos!$E$6)))</x:f>
        <x:v>0</x:v>
      </x:c>
      <x:c r="M11" s="16" t="n">
        <x:f>IF($B11="REAL",SUMIFS(Carga_Reales!$L:$L,Carga_Reales!$A:$A,$A11,Carga_Reales!$B:$B,$C11),SUMIFS(Proyecciones!$L:$L,Proyecciones!$A:$A,$A11,Proyecciones!$B:$B,$C11))*IF($B11="REAL",1,IF(Resumen!$B$5="Conservador",Supuestos!$E$5,IF(Resumen!$B$5="Optimista",Supuestos!$E$7,Supuestos!$E$6)))</x:f>
        <x:v>0</x:v>
      </x:c>
      <x:c r="N11" s="16" t="n">
        <x:f>E11+G11+H11+I11+J11+K11</x:f>
        <x:v>0</x:v>
      </x:c>
      <x:c r="O11" s="16" t="n">
        <x:f>E11-F11+G11+H11+I11+J11+K11-L11-M11</x:f>
        <x:v>0</x:v>
      </x:c>
      <x:c r="P11" s="16" t="n">
        <x:f>O11-IF($B11="REAL",SUMIFS(Carga_Reales!$M:$M,Carga_Reales!$A:$A,$A11,Carga_Reales!$B:$B,$C11),SUMIFS(Proyecciones!$M:$M,Proyecciones!$A:$A,$A11,Proyecciones!$B:$B,$C11))-IF($B11="REAL",SUMIFS(Carga_Reales!$N:$N,Carga_Reales!$A:$A,$A11,Carga_Reales!$B:$B,$C11),SUMIFS(Proyecciones!$N:$N,Proyecciones!$A:$A,$A11,Proyecciones!$B:$B,$C11))</x:f>
        <x:v>0</x:v>
      </x:c>
      <x:c r="Q11" s="16" t="n">
        <x:f>IF($B11="REAL",SUMIFS(Carga_Reales!$O:$O,Carga_Reales!$A:$A,$A11,Carga_Reales!$B:$B,$C11),SUMIFS(Proyecciones!$O:$O,Proyecciones!$A:$A,$A11,Proyecciones!$B:$B,$C11))</x:f>
        <x:v>0</x:v>
      </x:c>
      <x:c r="R11" s="16" t="n">
        <x:f>O11-Q11</x:f>
        <x:v>0</x:v>
      </x:c>
      <x:c r="S11" s="16" t="n">
        <x:f>E11-F11</x:f>
        <x:v>0</x:v>
      </x:c>
      <x:c r="T11" s="16" t="n">
        <x:f>L11+M11</x:f>
        <x:v>0</x:v>
      </x:c>
      <x:c r="U11" t="n">
        <x:f>IFERROR((L11+M11)/MAX(1,(S11+G11)/MAX(1,D11)),0)</x:f>
        <x:v>0</x:v>
      </x:c>
    </x:row>
    <x:row r="12">
      <x:c r="A12" s="26" t="n">
        <x:v>46082</x:v>
      </x:c>
      <x:c r="B12" t="str">
        <x:f>IF(EOMONTH($A12,0)&lt;=Resumen!$B$4,"REAL","PROYECTADO")</x:f>
        <x:v>REAL</x:v>
      </x:c>
      <x:c r="C12" t="str">
        <x:v>Verificarte</x:v>
      </x:c>
      <x:c r="D12" s="15" t="n">
        <x:f>IF($B12="REAL",SUMIFS(Carga_Reales!$C:$C,Carga_Reales!$A:$A,$A12,Carga_Reales!$B:$B,$C12),SUMIFS(Proyecciones!$C:$C,Proyecciones!$A:$A,$A12,Proyecciones!$B:$B,$C12))*IF($B12="REAL",1,IF(Resumen!$B$5="Conservador",Supuestos!$B$5,IF(Resumen!$B$5="Optimista",Supuestos!$B$7,Supuestos!$B$6)))</x:f>
        <x:v>0</x:v>
      </x:c>
      <x:c r="E12" s="16" t="n">
        <x:f>IF($B12="REAL",SUMIFS(Carga_Reales!$D:$D,Carga_Reales!$A:$A,$A12,Carga_Reales!$B:$B,$C12),SUMIFS(Proyecciones!$D:$D,Proyecciones!$A:$A,$A12,Proyecciones!$B:$B,$C12))*IF($B12="REAL",1,IF(Resumen!$B$5="Conservador",Supuestos!$B$5,IF(Resumen!$B$5="Optimista",Supuestos!$B$7,Supuestos!$B$6))*IF(Resumen!$B$5="Conservador",Supuestos!$C$5,IF(Resumen!$B$5="Optimista",Supuestos!$C$7,Supuestos!$C$6)))</x:f>
        <x:v>0</x:v>
      </x:c>
      <x:c r="F12" s="16" t="n">
        <x:f>IF($B12="REAL",SUMIFS(Carga_Reales!$E:$E,Carga_Reales!$A:$A,$A12,Carga_Reales!$B:$B,$C12),SUMIFS(Proyecciones!$E:$E,Proyecciones!$A:$A,$A12,Proyecciones!$B:$B,$C12))*IF($B12="REAL",1,IF(Resumen!$B$5="Conservador",Supuestos!$B$5,IF(Resumen!$B$5="Optimista",Supuestos!$B$7,Supuestos!$B$6))*IF(Resumen!$B$5="Conservador",Supuestos!$D$5,IF(Resumen!$B$5="Optimista",Supuestos!$D$7,Supuestos!$D$6)))</x:f>
        <x:v>0</x:v>
      </x:c>
      <x:c r="G12" s="16" t="n">
        <x:f>IF($B12="REAL",SUMIFS(Carga_Reales!$F:$F,Carga_Reales!$A:$A,$A12,Carga_Reales!$B:$B,$C12),SUMIFS(Proyecciones!$F:$F,Proyecciones!$A:$A,$A12,Proyecciones!$B:$B,$C12))*IF($B12="REAL",1,IF(Resumen!$B$5="Conservador",Supuestos!$B$5,IF(Resumen!$B$5="Optimista",Supuestos!$B$7,Supuestos!$B$6)))</x:f>
        <x:v>0</x:v>
      </x:c>
      <x:c r="H12" s="16" t="n">
        <x:f>IF($B12="REAL",SUMIFS(Carga_Reales!$G:$G,Carga_Reales!$A:$A,$A12,Carga_Reales!$B:$B,$C12),SUMIFS(Proyecciones!$G:$G,Proyecciones!$A:$A,$A12,Proyecciones!$B:$B,$C12))*IF($B12="REAL",1,IF(Resumen!$B$5="Conservador",Supuestos!$B$5,IF(Resumen!$B$5="Optimista",Supuestos!$B$7,Supuestos!$B$6)))</x:f>
        <x:v>0</x:v>
      </x:c>
      <x:c r="I12" s="16" t="n">
        <x:f>IF($B12="REAL",SUMIFS(Carga_Reales!$H:$H,Carga_Reales!$A:$A,$A12,Carga_Reales!$B:$B,$C12),SUMIFS(Proyecciones!$H:$H,Proyecciones!$A:$A,$A12,Proyecciones!$B:$B,$C12))*IF($B12="REAL",1,IF(Resumen!$B$5="Conservador",Supuestos!$B$5,IF(Resumen!$B$5="Optimista",Supuestos!$B$7,Supuestos!$B$6)))</x:f>
        <x:v>0</x:v>
      </x:c>
      <x:c r="J12" s="16" t="n">
        <x:f>IF($B12="REAL",SUMIFS(Carga_Reales!$I:$I,Carga_Reales!$A:$A,$A12,Carga_Reales!$B:$B,$C12),SUMIFS(Proyecciones!$I:$I,Proyecciones!$A:$A,$A12,Proyecciones!$B:$B,$C12))*IF($B12="REAL",1,IF(Resumen!$B$5="Conservador",Supuestos!$B$5,IF(Resumen!$B$5="Optimista",Supuestos!$B$7,Supuestos!$B$6)))</x:f>
        <x:v>0</x:v>
      </x:c>
      <x:c r="K12" s="16" t="n">
        <x:f>IF($B12="REAL",SUMIFS(Carga_Reales!$J:$J,Carga_Reales!$A:$A,$A12,Carga_Reales!$B:$B,$C12),SUMIFS(Proyecciones!$J:$J,Proyecciones!$A:$A,$A12,Proyecciones!$B:$B,$C12))*IF($B12="REAL",1,IF(Resumen!$B$5="Conservador",Supuestos!$B$5,IF(Resumen!$B$5="Optimista",Supuestos!$B$7,Supuestos!$B$6)))</x:f>
        <x:v>0</x:v>
      </x:c>
      <x:c r="L12" s="16" t="n">
        <x:f>IF($B12="REAL",SUMIFS(Carga_Reales!$K:$K,Carga_Reales!$A:$A,$A12,Carga_Reales!$B:$B,$C12),SUMIFS(Proyecciones!$K:$K,Proyecciones!$A:$A,$A12,Proyecciones!$B:$B,$C12))*IF($B12="REAL",1,IF(Resumen!$B$5="Conservador",Supuestos!$E$5,IF(Resumen!$B$5="Optimista",Supuestos!$E$7,Supuestos!$E$6)))</x:f>
        <x:v>0</x:v>
      </x:c>
      <x:c r="M12" s="16" t="n">
        <x:f>IF($B12="REAL",SUMIFS(Carga_Reales!$L:$L,Carga_Reales!$A:$A,$A12,Carga_Reales!$B:$B,$C12),SUMIFS(Proyecciones!$L:$L,Proyecciones!$A:$A,$A12,Proyecciones!$B:$B,$C12))*IF($B12="REAL",1,IF(Resumen!$B$5="Conservador",Supuestos!$E$5,IF(Resumen!$B$5="Optimista",Supuestos!$E$7,Supuestos!$E$6)))</x:f>
        <x:v>0</x:v>
      </x:c>
      <x:c r="N12" s="16" t="n">
        <x:f>E12+G12+H12+I12+J12+K12</x:f>
        <x:v>0</x:v>
      </x:c>
      <x:c r="O12" s="16" t="n">
        <x:f>E12-F12+G12+H12+I12+J12+K12-L12-M12</x:f>
        <x:v>0</x:v>
      </x:c>
      <x:c r="P12" s="16" t="n">
        <x:f>O12-IF($B12="REAL",SUMIFS(Carga_Reales!$M:$M,Carga_Reales!$A:$A,$A12,Carga_Reales!$B:$B,$C12),SUMIFS(Proyecciones!$M:$M,Proyecciones!$A:$A,$A12,Proyecciones!$B:$B,$C12))-IF($B12="REAL",SUMIFS(Carga_Reales!$N:$N,Carga_Reales!$A:$A,$A12,Carga_Reales!$B:$B,$C12),SUMIFS(Proyecciones!$N:$N,Proyecciones!$A:$A,$A12,Proyecciones!$B:$B,$C12))</x:f>
        <x:v>0</x:v>
      </x:c>
      <x:c r="Q12" s="16" t="n">
        <x:f>IF($B12="REAL",SUMIFS(Carga_Reales!$O:$O,Carga_Reales!$A:$A,$A12,Carga_Reales!$B:$B,$C12),SUMIFS(Proyecciones!$O:$O,Proyecciones!$A:$A,$A12,Proyecciones!$B:$B,$C12))</x:f>
        <x:v>0</x:v>
      </x:c>
      <x:c r="R12" s="16" t="n">
        <x:f>O12-Q12</x:f>
        <x:v>0</x:v>
      </x:c>
      <x:c r="S12" s="16" t="n">
        <x:f>E12-F12</x:f>
        <x:v>0</x:v>
      </x:c>
      <x:c r="T12" s="16" t="n">
        <x:f>L12+M12</x:f>
        <x:v>0</x:v>
      </x:c>
      <x:c r="U12" t="n">
        <x:f>IFERROR((L12+M12)/MAX(1,(S12+G12)/MAX(1,D12)),0)</x:f>
        <x:v>0</x:v>
      </x:c>
    </x:row>
    <x:row r="13">
      <x:c r="A13" s="26" t="n">
        <x:v>46082</x:v>
      </x:c>
      <x:c r="B13" t="str">
        <x:f>IF(EOMONTH($A13,0)&lt;=Resumen!$B$4,"REAL","PROYECTADO")</x:f>
        <x:v>REAL</x:v>
      </x:c>
      <x:c r="C13" t="str">
        <x:v>TuClick</x:v>
      </x:c>
      <x:c r="D13" s="15" t="n">
        <x:f>IF($B13="REAL",SUMIFS(Carga_Reales!$C:$C,Carga_Reales!$A:$A,$A13,Carga_Reales!$B:$B,$C13),SUMIFS(Proyecciones!$C:$C,Proyecciones!$A:$A,$A13,Proyecciones!$B:$B,$C13))*IF($B13="REAL",1,IF(Resumen!$B$5="Conservador",Supuestos!$B$5,IF(Resumen!$B$5="Optimista",Supuestos!$B$7,Supuestos!$B$6)))</x:f>
        <x:v>0</x:v>
      </x:c>
      <x:c r="E13" s="16" t="n">
        <x:f>IF($B13="REAL",SUMIFS(Carga_Reales!$D:$D,Carga_Reales!$A:$A,$A13,Carga_Reales!$B:$B,$C13),SUMIFS(Proyecciones!$D:$D,Proyecciones!$A:$A,$A13,Proyecciones!$B:$B,$C13))*IF($B13="REAL",1,IF(Resumen!$B$5="Conservador",Supuestos!$B$5,IF(Resumen!$B$5="Optimista",Supuestos!$B$7,Supuestos!$B$6))*IF(Resumen!$B$5="Conservador",Supuestos!$C$5,IF(Resumen!$B$5="Optimista",Supuestos!$C$7,Supuestos!$C$6)))</x:f>
        <x:v>0</x:v>
      </x:c>
      <x:c r="F13" s="16" t="n">
        <x:f>IF($B13="REAL",SUMIFS(Carga_Reales!$E:$E,Carga_Reales!$A:$A,$A13,Carga_Reales!$B:$B,$C13),SUMIFS(Proyecciones!$E:$E,Proyecciones!$A:$A,$A13,Proyecciones!$B:$B,$C13))*IF($B13="REAL",1,IF(Resumen!$B$5="Conservador",Supuestos!$B$5,IF(Resumen!$B$5="Optimista",Supuestos!$B$7,Supuestos!$B$6))*IF(Resumen!$B$5="Conservador",Supuestos!$D$5,IF(Resumen!$B$5="Optimista",Supuestos!$D$7,Supuestos!$D$6)))</x:f>
        <x:v>0</x:v>
      </x:c>
      <x:c r="G13" s="16" t="n">
        <x:f>IF($B13="REAL",SUMIFS(Carga_Reales!$F:$F,Carga_Reales!$A:$A,$A13,Carga_Reales!$B:$B,$C13),SUMIFS(Proyecciones!$F:$F,Proyecciones!$A:$A,$A13,Proyecciones!$B:$B,$C13))*IF($B13="REAL",1,IF(Resumen!$B$5="Conservador",Supuestos!$B$5,IF(Resumen!$B$5="Optimista",Supuestos!$B$7,Supuestos!$B$6)))</x:f>
        <x:v>0</x:v>
      </x:c>
      <x:c r="H13" s="16" t="n">
        <x:f>IF($B13="REAL",SUMIFS(Carga_Reales!$G:$G,Carga_Reales!$A:$A,$A13,Carga_Reales!$B:$B,$C13),SUMIFS(Proyecciones!$G:$G,Proyecciones!$A:$A,$A13,Proyecciones!$B:$B,$C13))*IF($B13="REAL",1,IF(Resumen!$B$5="Conservador",Supuestos!$B$5,IF(Resumen!$B$5="Optimista",Supuestos!$B$7,Supuestos!$B$6)))</x:f>
        <x:v>0</x:v>
      </x:c>
      <x:c r="I13" s="16" t="n">
        <x:f>IF($B13="REAL",SUMIFS(Carga_Reales!$H:$H,Carga_Reales!$A:$A,$A13,Carga_Reales!$B:$B,$C13),SUMIFS(Proyecciones!$H:$H,Proyecciones!$A:$A,$A13,Proyecciones!$B:$B,$C13))*IF($B13="REAL",1,IF(Resumen!$B$5="Conservador",Supuestos!$B$5,IF(Resumen!$B$5="Optimista",Supuestos!$B$7,Supuestos!$B$6)))</x:f>
        <x:v>0</x:v>
      </x:c>
      <x:c r="J13" s="16" t="n">
        <x:f>IF($B13="REAL",SUMIFS(Carga_Reales!$I:$I,Carga_Reales!$A:$A,$A13,Carga_Reales!$B:$B,$C13),SUMIFS(Proyecciones!$I:$I,Proyecciones!$A:$A,$A13,Proyecciones!$B:$B,$C13))*IF($B13="REAL",1,IF(Resumen!$B$5="Conservador",Supuestos!$B$5,IF(Resumen!$B$5="Optimista",Supuestos!$B$7,Supuestos!$B$6)))</x:f>
        <x:v>0</x:v>
      </x:c>
      <x:c r="K13" s="16" t="n">
        <x:f>IF($B13="REAL",SUMIFS(Carga_Reales!$J:$J,Carga_Reales!$A:$A,$A13,Carga_Reales!$B:$B,$C13),SUMIFS(Proyecciones!$J:$J,Proyecciones!$A:$A,$A13,Proyecciones!$B:$B,$C13))*IF($B13="REAL",1,IF(Resumen!$B$5="Conservador",Supuestos!$B$5,IF(Resumen!$B$5="Optimista",Supuestos!$B$7,Supuestos!$B$6)))</x:f>
        <x:v>0</x:v>
      </x:c>
      <x:c r="L13" s="16" t="n">
        <x:f>IF($B13="REAL",SUMIFS(Carga_Reales!$K:$K,Carga_Reales!$A:$A,$A13,Carga_Reales!$B:$B,$C13),SUMIFS(Proyecciones!$K:$K,Proyecciones!$A:$A,$A13,Proyecciones!$B:$B,$C13))*IF($B13="REAL",1,IF(Resumen!$B$5="Conservador",Supuestos!$E$5,IF(Resumen!$B$5="Optimista",Supuestos!$E$7,Supuestos!$E$6)))</x:f>
        <x:v>0</x:v>
      </x:c>
      <x:c r="M13" s="16" t="n">
        <x:f>IF($B13="REAL",SUMIFS(Carga_Reales!$L:$L,Carga_Reales!$A:$A,$A13,Carga_Reales!$B:$B,$C13),SUMIFS(Proyecciones!$L:$L,Proyecciones!$A:$A,$A13,Proyecciones!$B:$B,$C13))*IF($B13="REAL",1,IF(Resumen!$B$5="Conservador",Supuestos!$E$5,IF(Resumen!$B$5="Optimista",Supuestos!$E$7,Supuestos!$E$6)))</x:f>
        <x:v>0</x:v>
      </x:c>
      <x:c r="N13" s="16" t="n">
        <x:f>E13+G13+H13+I13+J13+K13</x:f>
        <x:v>0</x:v>
      </x:c>
      <x:c r="O13" s="16" t="n">
        <x:f>E13-F13+G13+H13+I13+J13+K13-L13-M13</x:f>
        <x:v>0</x:v>
      </x:c>
      <x:c r="P13" s="16" t="n">
        <x:f>O13-IF($B13="REAL",SUMIFS(Carga_Reales!$M:$M,Carga_Reales!$A:$A,$A13,Carga_Reales!$B:$B,$C13),SUMIFS(Proyecciones!$M:$M,Proyecciones!$A:$A,$A13,Proyecciones!$B:$B,$C13))-IF($B13="REAL",SUMIFS(Carga_Reales!$N:$N,Carga_Reales!$A:$A,$A13,Carga_Reales!$B:$B,$C13),SUMIFS(Proyecciones!$N:$N,Proyecciones!$A:$A,$A13,Proyecciones!$B:$B,$C13))</x:f>
        <x:v>0</x:v>
      </x:c>
      <x:c r="Q13" s="16" t="n">
        <x:f>IF($B13="REAL",SUMIFS(Carga_Reales!$O:$O,Carga_Reales!$A:$A,$A13,Carga_Reales!$B:$B,$C13),SUMIFS(Proyecciones!$O:$O,Proyecciones!$A:$A,$A13,Proyecciones!$B:$B,$C13))</x:f>
        <x:v>0</x:v>
      </x:c>
      <x:c r="R13" s="16" t="n">
        <x:f>O13-Q13</x:f>
        <x:v>0</x:v>
      </x:c>
      <x:c r="S13" s="16" t="n">
        <x:f>E13-F13</x:f>
        <x:v>0</x:v>
      </x:c>
      <x:c r="T13" s="16" t="n">
        <x:f>L13+M13</x:f>
        <x:v>0</x:v>
      </x:c>
      <x:c r="U13" t="n">
        <x:f>IFERROR((L13+M13)/MAX(1,(S13+G13)/MAX(1,D13)),0)</x:f>
        <x:v>0</x:v>
      </x:c>
    </x:row>
    <x:row r="14">
      <x:c r="A14" s="26" t="n">
        <x:v>46113</x:v>
      </x:c>
      <x:c r="B14" t="str">
        <x:f>IF(EOMONTH($A14,0)&lt;=Resumen!$B$4,"REAL","PROYECTADO")</x:f>
        <x:v>REAL</x:v>
      </x:c>
      <x:c r="C14" t="str">
        <x:v>Moto para Todos</x:v>
      </x:c>
      <x:c r="D14" s="15" t="n">
        <x:f>IF($B14="REAL",SUMIFS(Carga_Reales!$C:$C,Carga_Reales!$A:$A,$A14,Carga_Reales!$B:$B,$C14),SUMIFS(Proyecciones!$C:$C,Proyecciones!$A:$A,$A14,Proyecciones!$B:$B,$C14))*IF($B14="REAL",1,IF(Resumen!$B$5="Conservador",Supuestos!$B$5,IF(Resumen!$B$5="Optimista",Supuestos!$B$7,Supuestos!$B$6)))</x:f>
        <x:v>0</x:v>
      </x:c>
      <x:c r="E14" s="16" t="n">
        <x:f>IF($B14="REAL",SUMIFS(Carga_Reales!$D:$D,Carga_Reales!$A:$A,$A14,Carga_Reales!$B:$B,$C14),SUMIFS(Proyecciones!$D:$D,Proyecciones!$A:$A,$A14,Proyecciones!$B:$B,$C14))*IF($B14="REAL",1,IF(Resumen!$B$5="Conservador",Supuestos!$B$5,IF(Resumen!$B$5="Optimista",Supuestos!$B$7,Supuestos!$B$6))*IF(Resumen!$B$5="Conservador",Supuestos!$C$5,IF(Resumen!$B$5="Optimista",Supuestos!$C$7,Supuestos!$C$6)))</x:f>
        <x:v>0</x:v>
      </x:c>
      <x:c r="F14" s="16" t="n">
        <x:f>IF($B14="REAL",SUMIFS(Carga_Reales!$E:$E,Carga_Reales!$A:$A,$A14,Carga_Reales!$B:$B,$C14),SUMIFS(Proyecciones!$E:$E,Proyecciones!$A:$A,$A14,Proyecciones!$B:$B,$C14))*IF($B14="REAL",1,IF(Resumen!$B$5="Conservador",Supuestos!$B$5,IF(Resumen!$B$5="Optimista",Supuestos!$B$7,Supuestos!$B$6))*IF(Resumen!$B$5="Conservador",Supuestos!$D$5,IF(Resumen!$B$5="Optimista",Supuestos!$D$7,Supuestos!$D$6)))</x:f>
        <x:v>0</x:v>
      </x:c>
      <x:c r="G14" s="16" t="n">
        <x:f>IF($B14="REAL",SUMIFS(Carga_Reales!$F:$F,Carga_Reales!$A:$A,$A14,Carga_Reales!$B:$B,$C14),SUMIFS(Proyecciones!$F:$F,Proyecciones!$A:$A,$A14,Proyecciones!$B:$B,$C14))*IF($B14="REAL",1,IF(Resumen!$B$5="Conservador",Supuestos!$B$5,IF(Resumen!$B$5="Optimista",Supuestos!$B$7,Supuestos!$B$6)))</x:f>
        <x:v>0</x:v>
      </x:c>
      <x:c r="H14" s="16" t="n">
        <x:f>IF($B14="REAL",SUMIFS(Carga_Reales!$G:$G,Carga_Reales!$A:$A,$A14,Carga_Reales!$B:$B,$C14),SUMIFS(Proyecciones!$G:$G,Proyecciones!$A:$A,$A14,Proyecciones!$B:$B,$C14))*IF($B14="REAL",1,IF(Resumen!$B$5="Conservador",Supuestos!$B$5,IF(Resumen!$B$5="Optimista",Supuestos!$B$7,Supuestos!$B$6)))</x:f>
        <x:v>0</x:v>
      </x:c>
      <x:c r="I14" s="16" t="n">
        <x:f>IF($B14="REAL",SUMIFS(Carga_Reales!$H:$H,Carga_Reales!$A:$A,$A14,Carga_Reales!$B:$B,$C14),SUMIFS(Proyecciones!$H:$H,Proyecciones!$A:$A,$A14,Proyecciones!$B:$B,$C14))*IF($B14="REAL",1,IF(Resumen!$B$5="Conservador",Supuestos!$B$5,IF(Resumen!$B$5="Optimista",Supuestos!$B$7,Supuestos!$B$6)))</x:f>
        <x:v>0</x:v>
      </x:c>
      <x:c r="J14" s="16" t="n">
        <x:f>IF($B14="REAL",SUMIFS(Carga_Reales!$I:$I,Carga_Reales!$A:$A,$A14,Carga_Reales!$B:$B,$C14),SUMIFS(Proyecciones!$I:$I,Proyecciones!$A:$A,$A14,Proyecciones!$B:$B,$C14))*IF($B14="REAL",1,IF(Resumen!$B$5="Conservador",Supuestos!$B$5,IF(Resumen!$B$5="Optimista",Supuestos!$B$7,Supuestos!$B$6)))</x:f>
        <x:v>0</x:v>
      </x:c>
      <x:c r="K14" s="16" t="n">
        <x:f>IF($B14="REAL",SUMIFS(Carga_Reales!$J:$J,Carga_Reales!$A:$A,$A14,Carga_Reales!$B:$B,$C14),SUMIFS(Proyecciones!$J:$J,Proyecciones!$A:$A,$A14,Proyecciones!$B:$B,$C14))*IF($B14="REAL",1,IF(Resumen!$B$5="Conservador",Supuestos!$B$5,IF(Resumen!$B$5="Optimista",Supuestos!$B$7,Supuestos!$B$6)))</x:f>
        <x:v>0</x:v>
      </x:c>
      <x:c r="L14" s="16" t="n">
        <x:f>IF($B14="REAL",SUMIFS(Carga_Reales!$K:$K,Carga_Reales!$A:$A,$A14,Carga_Reales!$B:$B,$C14),SUMIFS(Proyecciones!$K:$K,Proyecciones!$A:$A,$A14,Proyecciones!$B:$B,$C14))*IF($B14="REAL",1,IF(Resumen!$B$5="Conservador",Supuestos!$E$5,IF(Resumen!$B$5="Optimista",Supuestos!$E$7,Supuestos!$E$6)))</x:f>
        <x:v>0</x:v>
      </x:c>
      <x:c r="M14" s="16" t="n">
        <x:f>IF($B14="REAL",SUMIFS(Carga_Reales!$L:$L,Carga_Reales!$A:$A,$A14,Carga_Reales!$B:$B,$C14),SUMIFS(Proyecciones!$L:$L,Proyecciones!$A:$A,$A14,Proyecciones!$B:$B,$C14))*IF($B14="REAL",1,IF(Resumen!$B$5="Conservador",Supuestos!$E$5,IF(Resumen!$B$5="Optimista",Supuestos!$E$7,Supuestos!$E$6)))</x:f>
        <x:v>0</x:v>
      </x:c>
      <x:c r="N14" s="16" t="n">
        <x:f>E14+G14+H14+I14+J14+K14</x:f>
        <x:v>0</x:v>
      </x:c>
      <x:c r="O14" s="16" t="n">
        <x:f>E14-F14+G14+H14+I14+J14+K14-L14-M14</x:f>
        <x:v>0</x:v>
      </x:c>
      <x:c r="P14" s="16" t="n">
        <x:f>O14-IF($B14="REAL",SUMIFS(Carga_Reales!$M:$M,Carga_Reales!$A:$A,$A14,Carga_Reales!$B:$B,$C14),SUMIFS(Proyecciones!$M:$M,Proyecciones!$A:$A,$A14,Proyecciones!$B:$B,$C14))-IF($B14="REAL",SUMIFS(Carga_Reales!$N:$N,Carga_Reales!$A:$A,$A14,Carga_Reales!$B:$B,$C14),SUMIFS(Proyecciones!$N:$N,Proyecciones!$A:$A,$A14,Proyecciones!$B:$B,$C14))</x:f>
        <x:v>0</x:v>
      </x:c>
      <x:c r="Q14" s="16" t="n">
        <x:f>IF($B14="REAL",SUMIFS(Carga_Reales!$O:$O,Carga_Reales!$A:$A,$A14,Carga_Reales!$B:$B,$C14),SUMIFS(Proyecciones!$O:$O,Proyecciones!$A:$A,$A14,Proyecciones!$B:$B,$C14))</x:f>
        <x:v>0</x:v>
      </x:c>
      <x:c r="R14" s="16" t="n">
        <x:f>O14-Q14</x:f>
        <x:v>0</x:v>
      </x:c>
      <x:c r="S14" s="16" t="n">
        <x:f>E14-F14</x:f>
        <x:v>0</x:v>
      </x:c>
      <x:c r="T14" s="16" t="n">
        <x:f>L14+M14</x:f>
        <x:v>0</x:v>
      </x:c>
      <x:c r="U14" t="n">
        <x:f>IFERROR((L14+M14)/MAX(1,(S14+G14)/MAX(1,D14)),0)</x:f>
        <x:v>0</x:v>
      </x:c>
    </x:row>
    <x:row r="15">
      <x:c r="A15" s="26" t="n">
        <x:v>46113</x:v>
      </x:c>
      <x:c r="B15" t="str">
        <x:f>IF(EOMONTH($A15,0)&lt;=Resumen!$B$4,"REAL","PROYECTADO")</x:f>
        <x:v>REAL</x:v>
      </x:c>
      <x:c r="C15" t="str">
        <x:v>Verificarte</x:v>
      </x:c>
      <x:c r="D15" s="15" t="n">
        <x:f>IF($B15="REAL",SUMIFS(Carga_Reales!$C:$C,Carga_Reales!$A:$A,$A15,Carga_Reales!$B:$B,$C15),SUMIFS(Proyecciones!$C:$C,Proyecciones!$A:$A,$A15,Proyecciones!$B:$B,$C15))*IF($B15="REAL",1,IF(Resumen!$B$5="Conservador",Supuestos!$B$5,IF(Resumen!$B$5="Optimista",Supuestos!$B$7,Supuestos!$B$6)))</x:f>
        <x:v>0</x:v>
      </x:c>
      <x:c r="E15" s="16" t="n">
        <x:f>IF($B15="REAL",SUMIFS(Carga_Reales!$D:$D,Carga_Reales!$A:$A,$A15,Carga_Reales!$B:$B,$C15),SUMIFS(Proyecciones!$D:$D,Proyecciones!$A:$A,$A15,Proyecciones!$B:$B,$C15))*IF($B15="REAL",1,IF(Resumen!$B$5="Conservador",Supuestos!$B$5,IF(Resumen!$B$5="Optimista",Supuestos!$B$7,Supuestos!$B$6))*IF(Resumen!$B$5="Conservador",Supuestos!$C$5,IF(Resumen!$B$5="Optimista",Supuestos!$C$7,Supuestos!$C$6)))</x:f>
        <x:v>0</x:v>
      </x:c>
      <x:c r="F15" s="16" t="n">
        <x:f>IF($B15="REAL",SUMIFS(Carga_Reales!$E:$E,Carga_Reales!$A:$A,$A15,Carga_Reales!$B:$B,$C15),SUMIFS(Proyecciones!$E:$E,Proyecciones!$A:$A,$A15,Proyecciones!$B:$B,$C15))*IF($B15="REAL",1,IF(Resumen!$B$5="Conservador",Supuestos!$B$5,IF(Resumen!$B$5="Optimista",Supuestos!$B$7,Supuestos!$B$6))*IF(Resumen!$B$5="Conservador",Supuestos!$D$5,IF(Resumen!$B$5="Optimista",Supuestos!$D$7,Supuestos!$D$6)))</x:f>
        <x:v>0</x:v>
      </x:c>
      <x:c r="G15" s="16" t="n">
        <x:f>IF($B15="REAL",SUMIFS(Carga_Reales!$F:$F,Carga_Reales!$A:$A,$A15,Carga_Reales!$B:$B,$C15),SUMIFS(Proyecciones!$F:$F,Proyecciones!$A:$A,$A15,Proyecciones!$B:$B,$C15))*IF($B15="REAL",1,IF(Resumen!$B$5="Conservador",Supuestos!$B$5,IF(Resumen!$B$5="Optimista",Supuestos!$B$7,Supuestos!$B$6)))</x:f>
        <x:v>0</x:v>
      </x:c>
      <x:c r="H15" s="16" t="n">
        <x:f>IF($B15="REAL",SUMIFS(Carga_Reales!$G:$G,Carga_Reales!$A:$A,$A15,Carga_Reales!$B:$B,$C15),SUMIFS(Proyecciones!$G:$G,Proyecciones!$A:$A,$A15,Proyecciones!$B:$B,$C15))*IF($B15="REAL",1,IF(Resumen!$B$5="Conservador",Supuestos!$B$5,IF(Resumen!$B$5="Optimista",Supuestos!$B$7,Supuestos!$B$6)))</x:f>
        <x:v>0</x:v>
      </x:c>
      <x:c r="I15" s="16" t="n">
        <x:f>IF($B15="REAL",SUMIFS(Carga_Reales!$H:$H,Carga_Reales!$A:$A,$A15,Carga_Reales!$B:$B,$C15),SUMIFS(Proyecciones!$H:$H,Proyecciones!$A:$A,$A15,Proyecciones!$B:$B,$C15))*IF($B15="REAL",1,IF(Resumen!$B$5="Conservador",Supuestos!$B$5,IF(Resumen!$B$5="Optimista",Supuestos!$B$7,Supuestos!$B$6)))</x:f>
        <x:v>0</x:v>
      </x:c>
      <x:c r="J15" s="16" t="n">
        <x:f>IF($B15="REAL",SUMIFS(Carga_Reales!$I:$I,Carga_Reales!$A:$A,$A15,Carga_Reales!$B:$B,$C15),SUMIFS(Proyecciones!$I:$I,Proyecciones!$A:$A,$A15,Proyecciones!$B:$B,$C15))*IF($B15="REAL",1,IF(Resumen!$B$5="Conservador",Supuestos!$B$5,IF(Resumen!$B$5="Optimista",Supuestos!$B$7,Supuestos!$B$6)))</x:f>
        <x:v>0</x:v>
      </x:c>
      <x:c r="K15" s="16" t="n">
        <x:f>IF($B15="REAL",SUMIFS(Carga_Reales!$J:$J,Carga_Reales!$A:$A,$A15,Carga_Reales!$B:$B,$C15),SUMIFS(Proyecciones!$J:$J,Proyecciones!$A:$A,$A15,Proyecciones!$B:$B,$C15))*IF($B15="REAL",1,IF(Resumen!$B$5="Conservador",Supuestos!$B$5,IF(Resumen!$B$5="Optimista",Supuestos!$B$7,Supuestos!$B$6)))</x:f>
        <x:v>0</x:v>
      </x:c>
      <x:c r="L15" s="16" t="n">
        <x:f>IF($B15="REAL",SUMIFS(Carga_Reales!$K:$K,Carga_Reales!$A:$A,$A15,Carga_Reales!$B:$B,$C15),SUMIFS(Proyecciones!$K:$K,Proyecciones!$A:$A,$A15,Proyecciones!$B:$B,$C15))*IF($B15="REAL",1,IF(Resumen!$B$5="Conservador",Supuestos!$E$5,IF(Resumen!$B$5="Optimista",Supuestos!$E$7,Supuestos!$E$6)))</x:f>
        <x:v>0</x:v>
      </x:c>
      <x:c r="M15" s="16" t="n">
        <x:f>IF($B15="REAL",SUMIFS(Carga_Reales!$L:$L,Carga_Reales!$A:$A,$A15,Carga_Reales!$B:$B,$C15),SUMIFS(Proyecciones!$L:$L,Proyecciones!$A:$A,$A15,Proyecciones!$B:$B,$C15))*IF($B15="REAL",1,IF(Resumen!$B$5="Conservador",Supuestos!$E$5,IF(Resumen!$B$5="Optimista",Supuestos!$E$7,Supuestos!$E$6)))</x:f>
        <x:v>0</x:v>
      </x:c>
      <x:c r="N15" s="16" t="n">
        <x:f>E15+G15+H15+I15+J15+K15</x:f>
        <x:v>0</x:v>
      </x:c>
      <x:c r="O15" s="16" t="n">
        <x:f>E15-F15+G15+H15+I15+J15+K15-L15-M15</x:f>
        <x:v>0</x:v>
      </x:c>
      <x:c r="P15" s="16" t="n">
        <x:f>O15-IF($B15="REAL",SUMIFS(Carga_Reales!$M:$M,Carga_Reales!$A:$A,$A15,Carga_Reales!$B:$B,$C15),SUMIFS(Proyecciones!$M:$M,Proyecciones!$A:$A,$A15,Proyecciones!$B:$B,$C15))-IF($B15="REAL",SUMIFS(Carga_Reales!$N:$N,Carga_Reales!$A:$A,$A15,Carga_Reales!$B:$B,$C15),SUMIFS(Proyecciones!$N:$N,Proyecciones!$A:$A,$A15,Proyecciones!$B:$B,$C15))</x:f>
        <x:v>0</x:v>
      </x:c>
      <x:c r="Q15" s="16" t="n">
        <x:f>IF($B15="REAL",SUMIFS(Carga_Reales!$O:$O,Carga_Reales!$A:$A,$A15,Carga_Reales!$B:$B,$C15),SUMIFS(Proyecciones!$O:$O,Proyecciones!$A:$A,$A15,Proyecciones!$B:$B,$C15))</x:f>
        <x:v>0</x:v>
      </x:c>
      <x:c r="R15" s="16" t="n">
        <x:f>O15-Q15</x:f>
        <x:v>0</x:v>
      </x:c>
      <x:c r="S15" s="16" t="n">
        <x:f>E15-F15</x:f>
        <x:v>0</x:v>
      </x:c>
      <x:c r="T15" s="16" t="n">
        <x:f>L15+M15</x:f>
        <x:v>0</x:v>
      </x:c>
      <x:c r="U15" t="n">
        <x:f>IFERROR((L15+M15)/MAX(1,(S15+G15)/MAX(1,D15)),0)</x:f>
        <x:v>0</x:v>
      </x:c>
    </x:row>
    <x:row r="16">
      <x:c r="A16" s="26" t="n">
        <x:v>46113</x:v>
      </x:c>
      <x:c r="B16" t="str">
        <x:f>IF(EOMONTH($A16,0)&lt;=Resumen!$B$4,"REAL","PROYECTADO")</x:f>
        <x:v>REAL</x:v>
      </x:c>
      <x:c r="C16" t="str">
        <x:v>TuClick</x:v>
      </x:c>
      <x:c r="D16" s="15" t="n">
        <x:f>IF($B16="REAL",SUMIFS(Carga_Reales!$C:$C,Carga_Reales!$A:$A,$A16,Carga_Reales!$B:$B,$C16),SUMIFS(Proyecciones!$C:$C,Proyecciones!$A:$A,$A16,Proyecciones!$B:$B,$C16))*IF($B16="REAL",1,IF(Resumen!$B$5="Conservador",Supuestos!$B$5,IF(Resumen!$B$5="Optimista",Supuestos!$B$7,Supuestos!$B$6)))</x:f>
        <x:v>0</x:v>
      </x:c>
      <x:c r="E16" s="16" t="n">
        <x:f>IF($B16="REAL",SUMIFS(Carga_Reales!$D:$D,Carga_Reales!$A:$A,$A16,Carga_Reales!$B:$B,$C16),SUMIFS(Proyecciones!$D:$D,Proyecciones!$A:$A,$A16,Proyecciones!$B:$B,$C16))*IF($B16="REAL",1,IF(Resumen!$B$5="Conservador",Supuestos!$B$5,IF(Resumen!$B$5="Optimista",Supuestos!$B$7,Supuestos!$B$6))*IF(Resumen!$B$5="Conservador",Supuestos!$C$5,IF(Resumen!$B$5="Optimista",Supuestos!$C$7,Supuestos!$C$6)))</x:f>
        <x:v>0</x:v>
      </x:c>
      <x:c r="F16" s="16" t="n">
        <x:f>IF($B16="REAL",SUMIFS(Carga_Reales!$E:$E,Carga_Reales!$A:$A,$A16,Carga_Reales!$B:$B,$C16),SUMIFS(Proyecciones!$E:$E,Proyecciones!$A:$A,$A16,Proyecciones!$B:$B,$C16))*IF($B16="REAL",1,IF(Resumen!$B$5="Conservador",Supuestos!$B$5,IF(Resumen!$B$5="Optimista",Supuestos!$B$7,Supuestos!$B$6))*IF(Resumen!$B$5="Conservador",Supuestos!$D$5,IF(Resumen!$B$5="Optimista",Supuestos!$D$7,Supuestos!$D$6)))</x:f>
        <x:v>0</x:v>
      </x:c>
      <x:c r="G16" s="16" t="n">
        <x:f>IF($B16="REAL",SUMIFS(Carga_Reales!$F:$F,Carga_Reales!$A:$A,$A16,Carga_Reales!$B:$B,$C16),SUMIFS(Proyecciones!$F:$F,Proyecciones!$A:$A,$A16,Proyecciones!$B:$B,$C16))*IF($B16="REAL",1,IF(Resumen!$B$5="Conservador",Supuestos!$B$5,IF(Resumen!$B$5="Optimista",Supuestos!$B$7,Supuestos!$B$6)))</x:f>
        <x:v>0</x:v>
      </x:c>
      <x:c r="H16" s="16" t="n">
        <x:f>IF($B16="REAL",SUMIFS(Carga_Reales!$G:$G,Carga_Reales!$A:$A,$A16,Carga_Reales!$B:$B,$C16),SUMIFS(Proyecciones!$G:$G,Proyecciones!$A:$A,$A16,Proyecciones!$B:$B,$C16))*IF($B16="REAL",1,IF(Resumen!$B$5="Conservador",Supuestos!$B$5,IF(Resumen!$B$5="Optimista",Supuestos!$B$7,Supuestos!$B$6)))</x:f>
        <x:v>0</x:v>
      </x:c>
      <x:c r="I16" s="16" t="n">
        <x:f>IF($B16="REAL",SUMIFS(Carga_Reales!$H:$H,Carga_Reales!$A:$A,$A16,Carga_Reales!$B:$B,$C16),SUMIFS(Proyecciones!$H:$H,Proyecciones!$A:$A,$A16,Proyecciones!$B:$B,$C16))*IF($B16="REAL",1,IF(Resumen!$B$5="Conservador",Supuestos!$B$5,IF(Resumen!$B$5="Optimista",Supuestos!$B$7,Supuestos!$B$6)))</x:f>
        <x:v>0</x:v>
      </x:c>
      <x:c r="J16" s="16" t="n">
        <x:f>IF($B16="REAL",SUMIFS(Carga_Reales!$I:$I,Carga_Reales!$A:$A,$A16,Carga_Reales!$B:$B,$C16),SUMIFS(Proyecciones!$I:$I,Proyecciones!$A:$A,$A16,Proyecciones!$B:$B,$C16))*IF($B16="REAL",1,IF(Resumen!$B$5="Conservador",Supuestos!$B$5,IF(Resumen!$B$5="Optimista",Supuestos!$B$7,Supuestos!$B$6)))</x:f>
        <x:v>0</x:v>
      </x:c>
      <x:c r="K16" s="16" t="n">
        <x:f>IF($B16="REAL",SUMIFS(Carga_Reales!$J:$J,Carga_Reales!$A:$A,$A16,Carga_Reales!$B:$B,$C16),SUMIFS(Proyecciones!$J:$J,Proyecciones!$A:$A,$A16,Proyecciones!$B:$B,$C16))*IF($B16="REAL",1,IF(Resumen!$B$5="Conservador",Supuestos!$B$5,IF(Resumen!$B$5="Optimista",Supuestos!$B$7,Supuestos!$B$6)))</x:f>
        <x:v>0</x:v>
      </x:c>
      <x:c r="L16" s="16" t="n">
        <x:f>IF($B16="REAL",SUMIFS(Carga_Reales!$K:$K,Carga_Reales!$A:$A,$A16,Carga_Reales!$B:$B,$C16),SUMIFS(Proyecciones!$K:$K,Proyecciones!$A:$A,$A16,Proyecciones!$B:$B,$C16))*IF($B16="REAL",1,IF(Resumen!$B$5="Conservador",Supuestos!$E$5,IF(Resumen!$B$5="Optimista",Supuestos!$E$7,Supuestos!$E$6)))</x:f>
        <x:v>0</x:v>
      </x:c>
      <x:c r="M16" s="16" t="n">
        <x:f>IF($B16="REAL",SUMIFS(Carga_Reales!$L:$L,Carga_Reales!$A:$A,$A16,Carga_Reales!$B:$B,$C16),SUMIFS(Proyecciones!$L:$L,Proyecciones!$A:$A,$A16,Proyecciones!$B:$B,$C16))*IF($B16="REAL",1,IF(Resumen!$B$5="Conservador",Supuestos!$E$5,IF(Resumen!$B$5="Optimista",Supuestos!$E$7,Supuestos!$E$6)))</x:f>
        <x:v>0</x:v>
      </x:c>
      <x:c r="N16" s="16" t="n">
        <x:f>E16+G16+H16+I16+J16+K16</x:f>
        <x:v>0</x:v>
      </x:c>
      <x:c r="O16" s="16" t="n">
        <x:f>E16-F16+G16+H16+I16+J16+K16-L16-M16</x:f>
        <x:v>0</x:v>
      </x:c>
      <x:c r="P16" s="16" t="n">
        <x:f>O16-IF($B16="REAL",SUMIFS(Carga_Reales!$M:$M,Carga_Reales!$A:$A,$A16,Carga_Reales!$B:$B,$C16),SUMIFS(Proyecciones!$M:$M,Proyecciones!$A:$A,$A16,Proyecciones!$B:$B,$C16))-IF($B16="REAL",SUMIFS(Carga_Reales!$N:$N,Carga_Reales!$A:$A,$A16,Carga_Reales!$B:$B,$C16),SUMIFS(Proyecciones!$N:$N,Proyecciones!$A:$A,$A16,Proyecciones!$B:$B,$C16))</x:f>
        <x:v>0</x:v>
      </x:c>
      <x:c r="Q16" s="16" t="n">
        <x:f>IF($B16="REAL",SUMIFS(Carga_Reales!$O:$O,Carga_Reales!$A:$A,$A16,Carga_Reales!$B:$B,$C16),SUMIFS(Proyecciones!$O:$O,Proyecciones!$A:$A,$A16,Proyecciones!$B:$B,$C16))</x:f>
        <x:v>0</x:v>
      </x:c>
      <x:c r="R16" s="16" t="n">
        <x:f>O16-Q16</x:f>
        <x:v>0</x:v>
      </x:c>
      <x:c r="S16" s="16" t="n">
        <x:f>E16-F16</x:f>
        <x:v>0</x:v>
      </x:c>
      <x:c r="T16" s="16" t="n">
        <x:f>L16+M16</x:f>
        <x:v>0</x:v>
      </x:c>
      <x:c r="U16" t="n">
        <x:f>IFERROR((L16+M16)/MAX(1,(S16+G16)/MAX(1,D16)),0)</x:f>
        <x:v>0</x:v>
      </x:c>
    </x:row>
    <x:row r="17">
      <x:c r="A17" s="26" t="n">
        <x:v>46143</x:v>
      </x:c>
      <x:c r="B17" t="str">
        <x:f>IF(EOMONTH($A17,0)&lt;=Resumen!$B$4,"REAL","PROYECTADO")</x:f>
        <x:v>REAL</x:v>
      </x:c>
      <x:c r="C17" t="str">
        <x:v>Moto para Todos</x:v>
      </x:c>
      <x:c r="D17" s="15" t="n">
        <x:f>IF($B17="REAL",SUMIFS(Carga_Reales!$C:$C,Carga_Reales!$A:$A,$A17,Carga_Reales!$B:$B,$C17),SUMIFS(Proyecciones!$C:$C,Proyecciones!$A:$A,$A17,Proyecciones!$B:$B,$C17))*IF($B17="REAL",1,IF(Resumen!$B$5="Conservador",Supuestos!$B$5,IF(Resumen!$B$5="Optimista",Supuestos!$B$7,Supuestos!$B$6)))</x:f>
        <x:v>0</x:v>
      </x:c>
      <x:c r="E17" s="16" t="n">
        <x:f>IF($B17="REAL",SUMIFS(Carga_Reales!$D:$D,Carga_Reales!$A:$A,$A17,Carga_Reales!$B:$B,$C17),SUMIFS(Proyecciones!$D:$D,Proyecciones!$A:$A,$A17,Proyecciones!$B:$B,$C17))*IF($B17="REAL",1,IF(Resumen!$B$5="Conservador",Supuestos!$B$5,IF(Resumen!$B$5="Optimista",Supuestos!$B$7,Supuestos!$B$6))*IF(Resumen!$B$5="Conservador",Supuestos!$C$5,IF(Resumen!$B$5="Optimista",Supuestos!$C$7,Supuestos!$C$6)))</x:f>
        <x:v>0</x:v>
      </x:c>
      <x:c r="F17" s="16" t="n">
        <x:f>IF($B17="REAL",SUMIFS(Carga_Reales!$E:$E,Carga_Reales!$A:$A,$A17,Carga_Reales!$B:$B,$C17),SUMIFS(Proyecciones!$E:$E,Proyecciones!$A:$A,$A17,Proyecciones!$B:$B,$C17))*IF($B17="REAL",1,IF(Resumen!$B$5="Conservador",Supuestos!$B$5,IF(Resumen!$B$5="Optimista",Supuestos!$B$7,Supuestos!$B$6))*IF(Resumen!$B$5="Conservador",Supuestos!$D$5,IF(Resumen!$B$5="Optimista",Supuestos!$D$7,Supuestos!$D$6)))</x:f>
        <x:v>0</x:v>
      </x:c>
      <x:c r="G17" s="16" t="n">
        <x:f>IF($B17="REAL",SUMIFS(Carga_Reales!$F:$F,Carga_Reales!$A:$A,$A17,Carga_Reales!$B:$B,$C17),SUMIFS(Proyecciones!$F:$F,Proyecciones!$A:$A,$A17,Proyecciones!$B:$B,$C17))*IF($B17="REAL",1,IF(Resumen!$B$5="Conservador",Supuestos!$B$5,IF(Resumen!$B$5="Optimista",Supuestos!$B$7,Supuestos!$B$6)))</x:f>
        <x:v>0</x:v>
      </x:c>
      <x:c r="H17" s="16" t="n">
        <x:f>IF($B17="REAL",SUMIFS(Carga_Reales!$G:$G,Carga_Reales!$A:$A,$A17,Carga_Reales!$B:$B,$C17),SUMIFS(Proyecciones!$G:$G,Proyecciones!$A:$A,$A17,Proyecciones!$B:$B,$C17))*IF($B17="REAL",1,IF(Resumen!$B$5="Conservador",Supuestos!$B$5,IF(Resumen!$B$5="Optimista",Supuestos!$B$7,Supuestos!$B$6)))</x:f>
        <x:v>0</x:v>
      </x:c>
      <x:c r="I17" s="16" t="n">
        <x:f>IF($B17="REAL",SUMIFS(Carga_Reales!$H:$H,Carga_Reales!$A:$A,$A17,Carga_Reales!$B:$B,$C17),SUMIFS(Proyecciones!$H:$H,Proyecciones!$A:$A,$A17,Proyecciones!$B:$B,$C17))*IF($B17="REAL",1,IF(Resumen!$B$5="Conservador",Supuestos!$B$5,IF(Resumen!$B$5="Optimista",Supuestos!$B$7,Supuestos!$B$6)))</x:f>
        <x:v>0</x:v>
      </x:c>
      <x:c r="J17" s="16" t="n">
        <x:f>IF($B17="REAL",SUMIFS(Carga_Reales!$I:$I,Carga_Reales!$A:$A,$A17,Carga_Reales!$B:$B,$C17),SUMIFS(Proyecciones!$I:$I,Proyecciones!$A:$A,$A17,Proyecciones!$B:$B,$C17))*IF($B17="REAL",1,IF(Resumen!$B$5="Conservador",Supuestos!$B$5,IF(Resumen!$B$5="Optimista",Supuestos!$B$7,Supuestos!$B$6)))</x:f>
        <x:v>0</x:v>
      </x:c>
      <x:c r="K17" s="16" t="n">
        <x:f>IF($B17="REAL",SUMIFS(Carga_Reales!$J:$J,Carga_Reales!$A:$A,$A17,Carga_Reales!$B:$B,$C17),SUMIFS(Proyecciones!$J:$J,Proyecciones!$A:$A,$A17,Proyecciones!$B:$B,$C17))*IF($B17="REAL",1,IF(Resumen!$B$5="Conservador",Supuestos!$B$5,IF(Resumen!$B$5="Optimista",Supuestos!$B$7,Supuestos!$B$6)))</x:f>
        <x:v>0</x:v>
      </x:c>
      <x:c r="L17" s="16" t="n">
        <x:f>IF($B17="REAL",SUMIFS(Carga_Reales!$K:$K,Carga_Reales!$A:$A,$A17,Carga_Reales!$B:$B,$C17),SUMIFS(Proyecciones!$K:$K,Proyecciones!$A:$A,$A17,Proyecciones!$B:$B,$C17))*IF($B17="REAL",1,IF(Resumen!$B$5="Conservador",Supuestos!$E$5,IF(Resumen!$B$5="Optimista",Supuestos!$E$7,Supuestos!$E$6)))</x:f>
        <x:v>0</x:v>
      </x:c>
      <x:c r="M17" s="16" t="n">
        <x:f>IF($B17="REAL",SUMIFS(Carga_Reales!$L:$L,Carga_Reales!$A:$A,$A17,Carga_Reales!$B:$B,$C17),SUMIFS(Proyecciones!$L:$L,Proyecciones!$A:$A,$A17,Proyecciones!$B:$B,$C17))*IF($B17="REAL",1,IF(Resumen!$B$5="Conservador",Supuestos!$E$5,IF(Resumen!$B$5="Optimista",Supuestos!$E$7,Supuestos!$E$6)))</x:f>
        <x:v>0</x:v>
      </x:c>
      <x:c r="N17" s="16" t="n">
        <x:f>E17+G17+H17+I17+J17+K17</x:f>
        <x:v>0</x:v>
      </x:c>
      <x:c r="O17" s="16" t="n">
        <x:f>E17-F17+G17+H17+I17+J17+K17-L17-M17</x:f>
        <x:v>0</x:v>
      </x:c>
      <x:c r="P17" s="16" t="n">
        <x:f>O17-IF($B17="REAL",SUMIFS(Carga_Reales!$M:$M,Carga_Reales!$A:$A,$A17,Carga_Reales!$B:$B,$C17),SUMIFS(Proyecciones!$M:$M,Proyecciones!$A:$A,$A17,Proyecciones!$B:$B,$C17))-IF($B17="REAL",SUMIFS(Carga_Reales!$N:$N,Carga_Reales!$A:$A,$A17,Carga_Reales!$B:$B,$C17),SUMIFS(Proyecciones!$N:$N,Proyecciones!$A:$A,$A17,Proyecciones!$B:$B,$C17))</x:f>
        <x:v>0</x:v>
      </x:c>
      <x:c r="Q17" s="16" t="n">
        <x:f>IF($B17="REAL",SUMIFS(Carga_Reales!$O:$O,Carga_Reales!$A:$A,$A17,Carga_Reales!$B:$B,$C17),SUMIFS(Proyecciones!$O:$O,Proyecciones!$A:$A,$A17,Proyecciones!$B:$B,$C17))</x:f>
        <x:v>0</x:v>
      </x:c>
      <x:c r="R17" s="16" t="n">
        <x:f>O17-Q17</x:f>
        <x:v>0</x:v>
      </x:c>
      <x:c r="S17" s="16" t="n">
        <x:f>E17-F17</x:f>
        <x:v>0</x:v>
      </x:c>
      <x:c r="T17" s="16" t="n">
        <x:f>L17+M17</x:f>
        <x:v>0</x:v>
      </x:c>
      <x:c r="U17" t="n">
        <x:f>IFERROR((L17+M17)/MAX(1,(S17+G17)/MAX(1,D17)),0)</x:f>
        <x:v>0</x:v>
      </x:c>
    </x:row>
    <x:row r="18">
      <x:c r="A18" s="26" t="n">
        <x:v>46143</x:v>
      </x:c>
      <x:c r="B18" t="str">
        <x:f>IF(EOMONTH($A18,0)&lt;=Resumen!$B$4,"REAL","PROYECTADO")</x:f>
        <x:v>REAL</x:v>
      </x:c>
      <x:c r="C18" t="str">
        <x:v>Verificarte</x:v>
      </x:c>
      <x:c r="D18" s="15" t="n">
        <x:f>IF($B18="REAL",SUMIFS(Carga_Reales!$C:$C,Carga_Reales!$A:$A,$A18,Carga_Reales!$B:$B,$C18),SUMIFS(Proyecciones!$C:$C,Proyecciones!$A:$A,$A18,Proyecciones!$B:$B,$C18))*IF($B18="REAL",1,IF(Resumen!$B$5="Conservador",Supuestos!$B$5,IF(Resumen!$B$5="Optimista",Supuestos!$B$7,Supuestos!$B$6)))</x:f>
        <x:v>0</x:v>
      </x:c>
      <x:c r="E18" s="16" t="n">
        <x:f>IF($B18="REAL",SUMIFS(Carga_Reales!$D:$D,Carga_Reales!$A:$A,$A18,Carga_Reales!$B:$B,$C18),SUMIFS(Proyecciones!$D:$D,Proyecciones!$A:$A,$A18,Proyecciones!$B:$B,$C18))*IF($B18="REAL",1,IF(Resumen!$B$5="Conservador",Supuestos!$B$5,IF(Resumen!$B$5="Optimista",Supuestos!$B$7,Supuestos!$B$6))*IF(Resumen!$B$5="Conservador",Supuestos!$C$5,IF(Resumen!$B$5="Optimista",Supuestos!$C$7,Supuestos!$C$6)))</x:f>
        <x:v>0</x:v>
      </x:c>
      <x:c r="F18" s="16" t="n">
        <x:f>IF($B18="REAL",SUMIFS(Carga_Reales!$E:$E,Carga_Reales!$A:$A,$A18,Carga_Reales!$B:$B,$C18),SUMIFS(Proyecciones!$E:$E,Proyecciones!$A:$A,$A18,Proyecciones!$B:$B,$C18))*IF($B18="REAL",1,IF(Resumen!$B$5="Conservador",Supuestos!$B$5,IF(Resumen!$B$5="Optimista",Supuestos!$B$7,Supuestos!$B$6))*IF(Resumen!$B$5="Conservador",Supuestos!$D$5,IF(Resumen!$B$5="Optimista",Supuestos!$D$7,Supuestos!$D$6)))</x:f>
        <x:v>0</x:v>
      </x:c>
      <x:c r="G18" s="16" t="n">
        <x:f>IF($B18="REAL",SUMIFS(Carga_Reales!$F:$F,Carga_Reales!$A:$A,$A18,Carga_Reales!$B:$B,$C18),SUMIFS(Proyecciones!$F:$F,Proyecciones!$A:$A,$A18,Proyecciones!$B:$B,$C18))*IF($B18="REAL",1,IF(Resumen!$B$5="Conservador",Supuestos!$B$5,IF(Resumen!$B$5="Optimista",Supuestos!$B$7,Supuestos!$B$6)))</x:f>
        <x:v>0</x:v>
      </x:c>
      <x:c r="H18" s="16" t="n">
        <x:f>IF($B18="REAL",SUMIFS(Carga_Reales!$G:$G,Carga_Reales!$A:$A,$A18,Carga_Reales!$B:$B,$C18),SUMIFS(Proyecciones!$G:$G,Proyecciones!$A:$A,$A18,Proyecciones!$B:$B,$C18))*IF($B18="REAL",1,IF(Resumen!$B$5="Conservador",Supuestos!$B$5,IF(Resumen!$B$5="Optimista",Supuestos!$B$7,Supuestos!$B$6)))</x:f>
        <x:v>0</x:v>
      </x:c>
      <x:c r="I18" s="16" t="n">
        <x:f>IF($B18="REAL",SUMIFS(Carga_Reales!$H:$H,Carga_Reales!$A:$A,$A18,Carga_Reales!$B:$B,$C18),SUMIFS(Proyecciones!$H:$H,Proyecciones!$A:$A,$A18,Proyecciones!$B:$B,$C18))*IF($B18="REAL",1,IF(Resumen!$B$5="Conservador",Supuestos!$B$5,IF(Resumen!$B$5="Optimista",Supuestos!$B$7,Supuestos!$B$6)))</x:f>
        <x:v>0</x:v>
      </x:c>
      <x:c r="J18" s="16" t="n">
        <x:f>IF($B18="REAL",SUMIFS(Carga_Reales!$I:$I,Carga_Reales!$A:$A,$A18,Carga_Reales!$B:$B,$C18),SUMIFS(Proyecciones!$I:$I,Proyecciones!$A:$A,$A18,Proyecciones!$B:$B,$C18))*IF($B18="REAL",1,IF(Resumen!$B$5="Conservador",Supuestos!$B$5,IF(Resumen!$B$5="Optimista",Supuestos!$B$7,Supuestos!$B$6)))</x:f>
        <x:v>0</x:v>
      </x:c>
      <x:c r="K18" s="16" t="n">
        <x:f>IF($B18="REAL",SUMIFS(Carga_Reales!$J:$J,Carga_Reales!$A:$A,$A18,Carga_Reales!$B:$B,$C18),SUMIFS(Proyecciones!$J:$J,Proyecciones!$A:$A,$A18,Proyecciones!$B:$B,$C18))*IF($B18="REAL",1,IF(Resumen!$B$5="Conservador",Supuestos!$B$5,IF(Resumen!$B$5="Optimista",Supuestos!$B$7,Supuestos!$B$6)))</x:f>
        <x:v>0</x:v>
      </x:c>
      <x:c r="L18" s="16" t="n">
        <x:f>IF($B18="REAL",SUMIFS(Carga_Reales!$K:$K,Carga_Reales!$A:$A,$A18,Carga_Reales!$B:$B,$C18),SUMIFS(Proyecciones!$K:$K,Proyecciones!$A:$A,$A18,Proyecciones!$B:$B,$C18))*IF($B18="REAL",1,IF(Resumen!$B$5="Conservador",Supuestos!$E$5,IF(Resumen!$B$5="Optimista",Supuestos!$E$7,Supuestos!$E$6)))</x:f>
        <x:v>0</x:v>
      </x:c>
      <x:c r="M18" s="16" t="n">
        <x:f>IF($B18="REAL",SUMIFS(Carga_Reales!$L:$L,Carga_Reales!$A:$A,$A18,Carga_Reales!$B:$B,$C18),SUMIFS(Proyecciones!$L:$L,Proyecciones!$A:$A,$A18,Proyecciones!$B:$B,$C18))*IF($B18="REAL",1,IF(Resumen!$B$5="Conservador",Supuestos!$E$5,IF(Resumen!$B$5="Optimista",Supuestos!$E$7,Supuestos!$E$6)))</x:f>
        <x:v>0</x:v>
      </x:c>
      <x:c r="N18" s="16" t="n">
        <x:f>E18+G18+H18+I18+J18+K18</x:f>
        <x:v>0</x:v>
      </x:c>
      <x:c r="O18" s="16" t="n">
        <x:f>E18-F18+G18+H18+I18+J18+K18-L18-M18</x:f>
        <x:v>0</x:v>
      </x:c>
      <x:c r="P18" s="16" t="n">
        <x:f>O18-IF($B18="REAL",SUMIFS(Carga_Reales!$M:$M,Carga_Reales!$A:$A,$A18,Carga_Reales!$B:$B,$C18),SUMIFS(Proyecciones!$M:$M,Proyecciones!$A:$A,$A18,Proyecciones!$B:$B,$C18))-IF($B18="REAL",SUMIFS(Carga_Reales!$N:$N,Carga_Reales!$A:$A,$A18,Carga_Reales!$B:$B,$C18),SUMIFS(Proyecciones!$N:$N,Proyecciones!$A:$A,$A18,Proyecciones!$B:$B,$C18))</x:f>
        <x:v>0</x:v>
      </x:c>
      <x:c r="Q18" s="16" t="n">
        <x:f>IF($B18="REAL",SUMIFS(Carga_Reales!$O:$O,Carga_Reales!$A:$A,$A18,Carga_Reales!$B:$B,$C18),SUMIFS(Proyecciones!$O:$O,Proyecciones!$A:$A,$A18,Proyecciones!$B:$B,$C18))</x:f>
        <x:v>0</x:v>
      </x:c>
      <x:c r="R18" s="16" t="n">
        <x:f>O18-Q18</x:f>
        <x:v>0</x:v>
      </x:c>
      <x:c r="S18" s="16" t="n">
        <x:f>E18-F18</x:f>
        <x:v>0</x:v>
      </x:c>
      <x:c r="T18" s="16" t="n">
        <x:f>L18+M18</x:f>
        <x:v>0</x:v>
      </x:c>
      <x:c r="U18" t="n">
        <x:f>IFERROR((L18+M18)/MAX(1,(S18+G18)/MAX(1,D18)),0)</x:f>
        <x:v>0</x:v>
      </x:c>
    </x:row>
    <x:row r="19">
      <x:c r="A19" s="26" t="n">
        <x:v>46143</x:v>
      </x:c>
      <x:c r="B19" t="str">
        <x:f>IF(EOMONTH($A19,0)&lt;=Resumen!$B$4,"REAL","PROYECTADO")</x:f>
        <x:v>REAL</x:v>
      </x:c>
      <x:c r="C19" t="str">
        <x:v>TuClick</x:v>
      </x:c>
      <x:c r="D19" s="15" t="n">
        <x:f>IF($B19="REAL",SUMIFS(Carga_Reales!$C:$C,Carga_Reales!$A:$A,$A19,Carga_Reales!$B:$B,$C19),SUMIFS(Proyecciones!$C:$C,Proyecciones!$A:$A,$A19,Proyecciones!$B:$B,$C19))*IF($B19="REAL",1,IF(Resumen!$B$5="Conservador",Supuestos!$B$5,IF(Resumen!$B$5="Optimista",Supuestos!$B$7,Supuestos!$B$6)))</x:f>
        <x:v>0</x:v>
      </x:c>
      <x:c r="E19" s="16" t="n">
        <x:f>IF($B19="REAL",SUMIFS(Carga_Reales!$D:$D,Carga_Reales!$A:$A,$A19,Carga_Reales!$B:$B,$C19),SUMIFS(Proyecciones!$D:$D,Proyecciones!$A:$A,$A19,Proyecciones!$B:$B,$C19))*IF($B19="REAL",1,IF(Resumen!$B$5="Conservador",Supuestos!$B$5,IF(Resumen!$B$5="Optimista",Supuestos!$B$7,Supuestos!$B$6))*IF(Resumen!$B$5="Conservador",Supuestos!$C$5,IF(Resumen!$B$5="Optimista",Supuestos!$C$7,Supuestos!$C$6)))</x:f>
        <x:v>0</x:v>
      </x:c>
      <x:c r="F19" s="16" t="n">
        <x:f>IF($B19="REAL",SUMIFS(Carga_Reales!$E:$E,Carga_Reales!$A:$A,$A19,Carga_Reales!$B:$B,$C19),SUMIFS(Proyecciones!$E:$E,Proyecciones!$A:$A,$A19,Proyecciones!$B:$B,$C19))*IF($B19="REAL",1,IF(Resumen!$B$5="Conservador",Supuestos!$B$5,IF(Resumen!$B$5="Optimista",Supuestos!$B$7,Supuestos!$B$6))*IF(Resumen!$B$5="Conservador",Supuestos!$D$5,IF(Resumen!$B$5="Optimista",Supuestos!$D$7,Supuestos!$D$6)))</x:f>
        <x:v>0</x:v>
      </x:c>
      <x:c r="G19" s="16" t="n">
        <x:f>IF($B19="REAL",SUMIFS(Carga_Reales!$F:$F,Carga_Reales!$A:$A,$A19,Carga_Reales!$B:$B,$C19),SUMIFS(Proyecciones!$F:$F,Proyecciones!$A:$A,$A19,Proyecciones!$B:$B,$C19))*IF($B19="REAL",1,IF(Resumen!$B$5="Conservador",Supuestos!$B$5,IF(Resumen!$B$5="Optimista",Supuestos!$B$7,Supuestos!$B$6)))</x:f>
        <x:v>0</x:v>
      </x:c>
      <x:c r="H19" s="16" t="n">
        <x:f>IF($B19="REAL",SUMIFS(Carga_Reales!$G:$G,Carga_Reales!$A:$A,$A19,Carga_Reales!$B:$B,$C19),SUMIFS(Proyecciones!$G:$G,Proyecciones!$A:$A,$A19,Proyecciones!$B:$B,$C19))*IF($B19="REAL",1,IF(Resumen!$B$5="Conservador",Supuestos!$B$5,IF(Resumen!$B$5="Optimista",Supuestos!$B$7,Supuestos!$B$6)))</x:f>
        <x:v>0</x:v>
      </x:c>
      <x:c r="I19" s="16" t="n">
        <x:f>IF($B19="REAL",SUMIFS(Carga_Reales!$H:$H,Carga_Reales!$A:$A,$A19,Carga_Reales!$B:$B,$C19),SUMIFS(Proyecciones!$H:$H,Proyecciones!$A:$A,$A19,Proyecciones!$B:$B,$C19))*IF($B19="REAL",1,IF(Resumen!$B$5="Conservador",Supuestos!$B$5,IF(Resumen!$B$5="Optimista",Supuestos!$B$7,Supuestos!$B$6)))</x:f>
        <x:v>0</x:v>
      </x:c>
      <x:c r="J19" s="16" t="n">
        <x:f>IF($B19="REAL",SUMIFS(Carga_Reales!$I:$I,Carga_Reales!$A:$A,$A19,Carga_Reales!$B:$B,$C19),SUMIFS(Proyecciones!$I:$I,Proyecciones!$A:$A,$A19,Proyecciones!$B:$B,$C19))*IF($B19="REAL",1,IF(Resumen!$B$5="Conservador",Supuestos!$B$5,IF(Resumen!$B$5="Optimista",Supuestos!$B$7,Supuestos!$B$6)))</x:f>
        <x:v>0</x:v>
      </x:c>
      <x:c r="K19" s="16" t="n">
        <x:f>IF($B19="REAL",SUMIFS(Carga_Reales!$J:$J,Carga_Reales!$A:$A,$A19,Carga_Reales!$B:$B,$C19),SUMIFS(Proyecciones!$J:$J,Proyecciones!$A:$A,$A19,Proyecciones!$B:$B,$C19))*IF($B19="REAL",1,IF(Resumen!$B$5="Conservador",Supuestos!$B$5,IF(Resumen!$B$5="Optimista",Supuestos!$B$7,Supuestos!$B$6)))</x:f>
        <x:v>0</x:v>
      </x:c>
      <x:c r="L19" s="16" t="n">
        <x:f>IF($B19="REAL",SUMIFS(Carga_Reales!$K:$K,Carga_Reales!$A:$A,$A19,Carga_Reales!$B:$B,$C19),SUMIFS(Proyecciones!$K:$K,Proyecciones!$A:$A,$A19,Proyecciones!$B:$B,$C19))*IF($B19="REAL",1,IF(Resumen!$B$5="Conservador",Supuestos!$E$5,IF(Resumen!$B$5="Optimista",Supuestos!$E$7,Supuestos!$E$6)))</x:f>
        <x:v>0</x:v>
      </x:c>
      <x:c r="M19" s="16" t="n">
        <x:f>IF($B19="REAL",SUMIFS(Carga_Reales!$L:$L,Carga_Reales!$A:$A,$A19,Carga_Reales!$B:$B,$C19),SUMIFS(Proyecciones!$L:$L,Proyecciones!$A:$A,$A19,Proyecciones!$B:$B,$C19))*IF($B19="REAL",1,IF(Resumen!$B$5="Conservador",Supuestos!$E$5,IF(Resumen!$B$5="Optimista",Supuestos!$E$7,Supuestos!$E$6)))</x:f>
        <x:v>0</x:v>
      </x:c>
      <x:c r="N19" s="16" t="n">
        <x:f>E19+G19+H19+I19+J19+K19</x:f>
        <x:v>0</x:v>
      </x:c>
      <x:c r="O19" s="16" t="n">
        <x:f>E19-F19+G19+H19+I19+J19+K19-L19-M19</x:f>
        <x:v>0</x:v>
      </x:c>
      <x:c r="P19" s="16" t="n">
        <x:f>O19-IF($B19="REAL",SUMIFS(Carga_Reales!$M:$M,Carga_Reales!$A:$A,$A19,Carga_Reales!$B:$B,$C19),SUMIFS(Proyecciones!$M:$M,Proyecciones!$A:$A,$A19,Proyecciones!$B:$B,$C19))-IF($B19="REAL",SUMIFS(Carga_Reales!$N:$N,Carga_Reales!$A:$A,$A19,Carga_Reales!$B:$B,$C19),SUMIFS(Proyecciones!$N:$N,Proyecciones!$A:$A,$A19,Proyecciones!$B:$B,$C19))</x:f>
        <x:v>0</x:v>
      </x:c>
      <x:c r="Q19" s="16" t="n">
        <x:f>IF($B19="REAL",SUMIFS(Carga_Reales!$O:$O,Carga_Reales!$A:$A,$A19,Carga_Reales!$B:$B,$C19),SUMIFS(Proyecciones!$O:$O,Proyecciones!$A:$A,$A19,Proyecciones!$B:$B,$C19))</x:f>
        <x:v>0</x:v>
      </x:c>
      <x:c r="R19" s="16" t="n">
        <x:f>O19-Q19</x:f>
        <x:v>0</x:v>
      </x:c>
      <x:c r="S19" s="16" t="n">
        <x:f>E19-F19</x:f>
        <x:v>0</x:v>
      </x:c>
      <x:c r="T19" s="16" t="n">
        <x:f>L19+M19</x:f>
        <x:v>0</x:v>
      </x:c>
      <x:c r="U19" t="n">
        <x:f>IFERROR((L19+M19)/MAX(1,(S19+G19)/MAX(1,D19)),0)</x:f>
        <x:v>0</x:v>
      </x:c>
    </x:row>
    <x:row r="20">
      <x:c r="A20" s="26" t="n">
        <x:v>46174</x:v>
      </x:c>
      <x:c r="B20" t="str">
        <x:f>IF(EOMONTH($A20,0)&lt;=Resumen!$B$4,"REAL","PROYECTADO")</x:f>
        <x:v>REAL</x:v>
      </x:c>
      <x:c r="C20" t="str">
        <x:v>Moto para Todos</x:v>
      </x:c>
      <x:c r="D20" s="15" t="n">
        <x:f>IF($B20="REAL",SUMIFS(Carga_Reales!$C:$C,Carga_Reales!$A:$A,$A20,Carga_Reales!$B:$B,$C20),SUMIFS(Proyecciones!$C:$C,Proyecciones!$A:$A,$A20,Proyecciones!$B:$B,$C20))*IF($B20="REAL",1,IF(Resumen!$B$5="Conservador",Supuestos!$B$5,IF(Resumen!$B$5="Optimista",Supuestos!$B$7,Supuestos!$B$6)))</x:f>
        <x:v>0</x:v>
      </x:c>
      <x:c r="E20" s="16" t="n">
        <x:f>IF($B20="REAL",SUMIFS(Carga_Reales!$D:$D,Carga_Reales!$A:$A,$A20,Carga_Reales!$B:$B,$C20),SUMIFS(Proyecciones!$D:$D,Proyecciones!$A:$A,$A20,Proyecciones!$B:$B,$C20))*IF($B20="REAL",1,IF(Resumen!$B$5="Conservador",Supuestos!$B$5,IF(Resumen!$B$5="Optimista",Supuestos!$B$7,Supuestos!$B$6))*IF(Resumen!$B$5="Conservador",Supuestos!$C$5,IF(Resumen!$B$5="Optimista",Supuestos!$C$7,Supuestos!$C$6)))</x:f>
        <x:v>0</x:v>
      </x:c>
      <x:c r="F20" s="16" t="n">
        <x:f>IF($B20="REAL",SUMIFS(Carga_Reales!$E:$E,Carga_Reales!$A:$A,$A20,Carga_Reales!$B:$B,$C20),SUMIFS(Proyecciones!$E:$E,Proyecciones!$A:$A,$A20,Proyecciones!$B:$B,$C20))*IF($B20="REAL",1,IF(Resumen!$B$5="Conservador",Supuestos!$B$5,IF(Resumen!$B$5="Optimista",Supuestos!$B$7,Supuestos!$B$6))*IF(Resumen!$B$5="Conservador",Supuestos!$D$5,IF(Resumen!$B$5="Optimista",Supuestos!$D$7,Supuestos!$D$6)))</x:f>
        <x:v>0</x:v>
      </x:c>
      <x:c r="G20" s="16" t="n">
        <x:f>IF($B20="REAL",SUMIFS(Carga_Reales!$F:$F,Carga_Reales!$A:$A,$A20,Carga_Reales!$B:$B,$C20),SUMIFS(Proyecciones!$F:$F,Proyecciones!$A:$A,$A20,Proyecciones!$B:$B,$C20))*IF($B20="REAL",1,IF(Resumen!$B$5="Conservador",Supuestos!$B$5,IF(Resumen!$B$5="Optimista",Supuestos!$B$7,Supuestos!$B$6)))</x:f>
        <x:v>0</x:v>
      </x:c>
      <x:c r="H20" s="16" t="n">
        <x:f>IF($B20="REAL",SUMIFS(Carga_Reales!$G:$G,Carga_Reales!$A:$A,$A20,Carga_Reales!$B:$B,$C20),SUMIFS(Proyecciones!$G:$G,Proyecciones!$A:$A,$A20,Proyecciones!$B:$B,$C20))*IF($B20="REAL",1,IF(Resumen!$B$5="Conservador",Supuestos!$B$5,IF(Resumen!$B$5="Optimista",Supuestos!$B$7,Supuestos!$B$6)))</x:f>
        <x:v>0</x:v>
      </x:c>
      <x:c r="I20" s="16" t="n">
        <x:f>IF($B20="REAL",SUMIFS(Carga_Reales!$H:$H,Carga_Reales!$A:$A,$A20,Carga_Reales!$B:$B,$C20),SUMIFS(Proyecciones!$H:$H,Proyecciones!$A:$A,$A20,Proyecciones!$B:$B,$C20))*IF($B20="REAL",1,IF(Resumen!$B$5="Conservador",Supuestos!$B$5,IF(Resumen!$B$5="Optimista",Supuestos!$B$7,Supuestos!$B$6)))</x:f>
        <x:v>0</x:v>
      </x:c>
      <x:c r="J20" s="16" t="n">
        <x:f>IF($B20="REAL",SUMIFS(Carga_Reales!$I:$I,Carga_Reales!$A:$A,$A20,Carga_Reales!$B:$B,$C20),SUMIFS(Proyecciones!$I:$I,Proyecciones!$A:$A,$A20,Proyecciones!$B:$B,$C20))*IF($B20="REAL",1,IF(Resumen!$B$5="Conservador",Supuestos!$B$5,IF(Resumen!$B$5="Optimista",Supuestos!$B$7,Supuestos!$B$6)))</x:f>
        <x:v>0</x:v>
      </x:c>
      <x:c r="K20" s="16" t="n">
        <x:f>IF($B20="REAL",SUMIFS(Carga_Reales!$J:$J,Carga_Reales!$A:$A,$A20,Carga_Reales!$B:$B,$C20),SUMIFS(Proyecciones!$J:$J,Proyecciones!$A:$A,$A20,Proyecciones!$B:$B,$C20))*IF($B20="REAL",1,IF(Resumen!$B$5="Conservador",Supuestos!$B$5,IF(Resumen!$B$5="Optimista",Supuestos!$B$7,Supuestos!$B$6)))</x:f>
        <x:v>0</x:v>
      </x:c>
      <x:c r="L20" s="16" t="n">
        <x:f>IF($B20="REAL",SUMIFS(Carga_Reales!$K:$K,Carga_Reales!$A:$A,$A20,Carga_Reales!$B:$B,$C20),SUMIFS(Proyecciones!$K:$K,Proyecciones!$A:$A,$A20,Proyecciones!$B:$B,$C20))*IF($B20="REAL",1,IF(Resumen!$B$5="Conservador",Supuestos!$E$5,IF(Resumen!$B$5="Optimista",Supuestos!$E$7,Supuestos!$E$6)))</x:f>
        <x:v>0</x:v>
      </x:c>
      <x:c r="M20" s="16" t="n">
        <x:f>IF($B20="REAL",SUMIFS(Carga_Reales!$L:$L,Carga_Reales!$A:$A,$A20,Carga_Reales!$B:$B,$C20),SUMIFS(Proyecciones!$L:$L,Proyecciones!$A:$A,$A20,Proyecciones!$B:$B,$C20))*IF($B20="REAL",1,IF(Resumen!$B$5="Conservador",Supuestos!$E$5,IF(Resumen!$B$5="Optimista",Supuestos!$E$7,Supuestos!$E$6)))</x:f>
        <x:v>0</x:v>
      </x:c>
      <x:c r="N20" s="16" t="n">
        <x:f>E20+G20+H20+I20+J20+K20</x:f>
        <x:v>0</x:v>
      </x:c>
      <x:c r="O20" s="16" t="n">
        <x:f>E20-F20+G20+H20+I20+J20+K20-L20-M20</x:f>
        <x:v>0</x:v>
      </x:c>
      <x:c r="P20" s="16" t="n">
        <x:f>O20-IF($B20="REAL",SUMIFS(Carga_Reales!$M:$M,Carga_Reales!$A:$A,$A20,Carga_Reales!$B:$B,$C20),SUMIFS(Proyecciones!$M:$M,Proyecciones!$A:$A,$A20,Proyecciones!$B:$B,$C20))-IF($B20="REAL",SUMIFS(Carga_Reales!$N:$N,Carga_Reales!$A:$A,$A20,Carga_Reales!$B:$B,$C20),SUMIFS(Proyecciones!$N:$N,Proyecciones!$A:$A,$A20,Proyecciones!$B:$B,$C20))</x:f>
        <x:v>0</x:v>
      </x:c>
      <x:c r="Q20" s="16" t="n">
        <x:f>IF($B20="REAL",SUMIFS(Carga_Reales!$O:$O,Carga_Reales!$A:$A,$A20,Carga_Reales!$B:$B,$C20),SUMIFS(Proyecciones!$O:$O,Proyecciones!$A:$A,$A20,Proyecciones!$B:$B,$C20))</x:f>
        <x:v>0</x:v>
      </x:c>
      <x:c r="R20" s="16" t="n">
        <x:f>O20-Q20</x:f>
        <x:v>0</x:v>
      </x:c>
      <x:c r="S20" s="16" t="n">
        <x:f>E20-F20</x:f>
        <x:v>0</x:v>
      </x:c>
      <x:c r="T20" s="16" t="n">
        <x:f>L20+M20</x:f>
        <x:v>0</x:v>
      </x:c>
      <x:c r="U20" t="n">
        <x:f>IFERROR((L20+M20)/MAX(1,(S20+G20)/MAX(1,D20)),0)</x:f>
        <x:v>0</x:v>
      </x:c>
    </x:row>
    <x:row r="21">
      <x:c r="A21" s="26" t="n">
        <x:v>46174</x:v>
      </x:c>
      <x:c r="B21" t="str">
        <x:f>IF(EOMONTH($A21,0)&lt;=Resumen!$B$4,"REAL","PROYECTADO")</x:f>
        <x:v>REAL</x:v>
      </x:c>
      <x:c r="C21" t="str">
        <x:v>Verificarte</x:v>
      </x:c>
      <x:c r="D21" s="15" t="n">
        <x:f>IF($B21="REAL",SUMIFS(Carga_Reales!$C:$C,Carga_Reales!$A:$A,$A21,Carga_Reales!$B:$B,$C21),SUMIFS(Proyecciones!$C:$C,Proyecciones!$A:$A,$A21,Proyecciones!$B:$B,$C21))*IF($B21="REAL",1,IF(Resumen!$B$5="Conservador",Supuestos!$B$5,IF(Resumen!$B$5="Optimista",Supuestos!$B$7,Supuestos!$B$6)))</x:f>
        <x:v>0</x:v>
      </x:c>
      <x:c r="E21" s="16" t="n">
        <x:f>IF($B21="REAL",SUMIFS(Carga_Reales!$D:$D,Carga_Reales!$A:$A,$A21,Carga_Reales!$B:$B,$C21),SUMIFS(Proyecciones!$D:$D,Proyecciones!$A:$A,$A21,Proyecciones!$B:$B,$C21))*IF($B21="REAL",1,IF(Resumen!$B$5="Conservador",Supuestos!$B$5,IF(Resumen!$B$5="Optimista",Supuestos!$B$7,Supuestos!$B$6))*IF(Resumen!$B$5="Conservador",Supuestos!$C$5,IF(Resumen!$B$5="Optimista",Supuestos!$C$7,Supuestos!$C$6)))</x:f>
        <x:v>0</x:v>
      </x:c>
      <x:c r="F21" s="16" t="n">
        <x:f>IF($B21="REAL",SUMIFS(Carga_Reales!$E:$E,Carga_Reales!$A:$A,$A21,Carga_Reales!$B:$B,$C21),SUMIFS(Proyecciones!$E:$E,Proyecciones!$A:$A,$A21,Proyecciones!$B:$B,$C21))*IF($B21="REAL",1,IF(Resumen!$B$5="Conservador",Supuestos!$B$5,IF(Resumen!$B$5="Optimista",Supuestos!$B$7,Supuestos!$B$6))*IF(Resumen!$B$5="Conservador",Supuestos!$D$5,IF(Resumen!$B$5="Optimista",Supuestos!$D$7,Supuestos!$D$6)))</x:f>
        <x:v>0</x:v>
      </x:c>
      <x:c r="G21" s="16" t="n">
        <x:f>IF($B21="REAL",SUMIFS(Carga_Reales!$F:$F,Carga_Reales!$A:$A,$A21,Carga_Reales!$B:$B,$C21),SUMIFS(Proyecciones!$F:$F,Proyecciones!$A:$A,$A21,Proyecciones!$B:$B,$C21))*IF($B21="REAL",1,IF(Resumen!$B$5="Conservador",Supuestos!$B$5,IF(Resumen!$B$5="Optimista",Supuestos!$B$7,Supuestos!$B$6)))</x:f>
        <x:v>0</x:v>
      </x:c>
      <x:c r="H21" s="16" t="n">
        <x:f>IF($B21="REAL",SUMIFS(Carga_Reales!$G:$G,Carga_Reales!$A:$A,$A21,Carga_Reales!$B:$B,$C21),SUMIFS(Proyecciones!$G:$G,Proyecciones!$A:$A,$A21,Proyecciones!$B:$B,$C21))*IF($B21="REAL",1,IF(Resumen!$B$5="Conservador",Supuestos!$B$5,IF(Resumen!$B$5="Optimista",Supuestos!$B$7,Supuestos!$B$6)))</x:f>
        <x:v>0</x:v>
      </x:c>
      <x:c r="I21" s="16" t="n">
        <x:f>IF($B21="REAL",SUMIFS(Carga_Reales!$H:$H,Carga_Reales!$A:$A,$A21,Carga_Reales!$B:$B,$C21),SUMIFS(Proyecciones!$H:$H,Proyecciones!$A:$A,$A21,Proyecciones!$B:$B,$C21))*IF($B21="REAL",1,IF(Resumen!$B$5="Conservador",Supuestos!$B$5,IF(Resumen!$B$5="Optimista",Supuestos!$B$7,Supuestos!$B$6)))</x:f>
        <x:v>0</x:v>
      </x:c>
      <x:c r="J21" s="16" t="n">
        <x:f>IF($B21="REAL",SUMIFS(Carga_Reales!$I:$I,Carga_Reales!$A:$A,$A21,Carga_Reales!$B:$B,$C21),SUMIFS(Proyecciones!$I:$I,Proyecciones!$A:$A,$A21,Proyecciones!$B:$B,$C21))*IF($B21="REAL",1,IF(Resumen!$B$5="Conservador",Supuestos!$B$5,IF(Resumen!$B$5="Optimista",Supuestos!$B$7,Supuestos!$B$6)))</x:f>
        <x:v>0</x:v>
      </x:c>
      <x:c r="K21" s="16" t="n">
        <x:f>IF($B21="REAL",SUMIFS(Carga_Reales!$J:$J,Carga_Reales!$A:$A,$A21,Carga_Reales!$B:$B,$C21),SUMIFS(Proyecciones!$J:$J,Proyecciones!$A:$A,$A21,Proyecciones!$B:$B,$C21))*IF($B21="REAL",1,IF(Resumen!$B$5="Conservador",Supuestos!$B$5,IF(Resumen!$B$5="Optimista",Supuestos!$B$7,Supuestos!$B$6)))</x:f>
        <x:v>0</x:v>
      </x:c>
      <x:c r="L21" s="16" t="n">
        <x:f>IF($B21="REAL",SUMIFS(Carga_Reales!$K:$K,Carga_Reales!$A:$A,$A21,Carga_Reales!$B:$B,$C21),SUMIFS(Proyecciones!$K:$K,Proyecciones!$A:$A,$A21,Proyecciones!$B:$B,$C21))*IF($B21="REAL",1,IF(Resumen!$B$5="Conservador",Supuestos!$E$5,IF(Resumen!$B$5="Optimista",Supuestos!$E$7,Supuestos!$E$6)))</x:f>
        <x:v>0</x:v>
      </x:c>
      <x:c r="M21" s="16" t="n">
        <x:f>IF($B21="REAL",SUMIFS(Carga_Reales!$L:$L,Carga_Reales!$A:$A,$A21,Carga_Reales!$B:$B,$C21),SUMIFS(Proyecciones!$L:$L,Proyecciones!$A:$A,$A21,Proyecciones!$B:$B,$C21))*IF($B21="REAL",1,IF(Resumen!$B$5="Conservador",Supuestos!$E$5,IF(Resumen!$B$5="Optimista",Supuestos!$E$7,Supuestos!$E$6)))</x:f>
        <x:v>0</x:v>
      </x:c>
      <x:c r="N21" s="16" t="n">
        <x:f>E21+G21+H21+I21+J21+K21</x:f>
        <x:v>0</x:v>
      </x:c>
      <x:c r="O21" s="16" t="n">
        <x:f>E21-F21+G21+H21+I21+J21+K21-L21-M21</x:f>
        <x:v>0</x:v>
      </x:c>
      <x:c r="P21" s="16" t="n">
        <x:f>O21-IF($B21="REAL",SUMIFS(Carga_Reales!$M:$M,Carga_Reales!$A:$A,$A21,Carga_Reales!$B:$B,$C21),SUMIFS(Proyecciones!$M:$M,Proyecciones!$A:$A,$A21,Proyecciones!$B:$B,$C21))-IF($B21="REAL",SUMIFS(Carga_Reales!$N:$N,Carga_Reales!$A:$A,$A21,Carga_Reales!$B:$B,$C21),SUMIFS(Proyecciones!$N:$N,Proyecciones!$A:$A,$A21,Proyecciones!$B:$B,$C21))</x:f>
        <x:v>0</x:v>
      </x:c>
      <x:c r="Q21" s="16" t="n">
        <x:f>IF($B21="REAL",SUMIFS(Carga_Reales!$O:$O,Carga_Reales!$A:$A,$A21,Carga_Reales!$B:$B,$C21),SUMIFS(Proyecciones!$O:$O,Proyecciones!$A:$A,$A21,Proyecciones!$B:$B,$C21))</x:f>
        <x:v>0</x:v>
      </x:c>
      <x:c r="R21" s="16" t="n">
        <x:f>O21-Q21</x:f>
        <x:v>0</x:v>
      </x:c>
      <x:c r="S21" s="16" t="n">
        <x:f>E21-F21</x:f>
        <x:v>0</x:v>
      </x:c>
      <x:c r="T21" s="16" t="n">
        <x:f>L21+M21</x:f>
        <x:v>0</x:v>
      </x:c>
      <x:c r="U21" t="n">
        <x:f>IFERROR((L21+M21)/MAX(1,(S21+G21)/MAX(1,D21)),0)</x:f>
        <x:v>0</x:v>
      </x:c>
    </x:row>
    <x:row r="22">
      <x:c r="A22" s="26" t="n">
        <x:v>46174</x:v>
      </x:c>
      <x:c r="B22" t="str">
        <x:f>IF(EOMONTH($A22,0)&lt;=Resumen!$B$4,"REAL","PROYECTADO")</x:f>
        <x:v>REAL</x:v>
      </x:c>
      <x:c r="C22" t="str">
        <x:v>TuClick</x:v>
      </x:c>
      <x:c r="D22" s="15" t="n">
        <x:f>IF($B22="REAL",SUMIFS(Carga_Reales!$C:$C,Carga_Reales!$A:$A,$A22,Carga_Reales!$B:$B,$C22),SUMIFS(Proyecciones!$C:$C,Proyecciones!$A:$A,$A22,Proyecciones!$B:$B,$C22))*IF($B22="REAL",1,IF(Resumen!$B$5="Conservador",Supuestos!$B$5,IF(Resumen!$B$5="Optimista",Supuestos!$B$7,Supuestos!$B$6)))</x:f>
        <x:v>0</x:v>
      </x:c>
      <x:c r="E22" s="16" t="n">
        <x:f>IF($B22="REAL",SUMIFS(Carga_Reales!$D:$D,Carga_Reales!$A:$A,$A22,Carga_Reales!$B:$B,$C22),SUMIFS(Proyecciones!$D:$D,Proyecciones!$A:$A,$A22,Proyecciones!$B:$B,$C22))*IF($B22="REAL",1,IF(Resumen!$B$5="Conservador",Supuestos!$B$5,IF(Resumen!$B$5="Optimista",Supuestos!$B$7,Supuestos!$B$6))*IF(Resumen!$B$5="Conservador",Supuestos!$C$5,IF(Resumen!$B$5="Optimista",Supuestos!$C$7,Supuestos!$C$6)))</x:f>
        <x:v>0</x:v>
      </x:c>
      <x:c r="F22" s="16" t="n">
        <x:f>IF($B22="REAL",SUMIFS(Carga_Reales!$E:$E,Carga_Reales!$A:$A,$A22,Carga_Reales!$B:$B,$C22),SUMIFS(Proyecciones!$E:$E,Proyecciones!$A:$A,$A22,Proyecciones!$B:$B,$C22))*IF($B22="REAL",1,IF(Resumen!$B$5="Conservador",Supuestos!$B$5,IF(Resumen!$B$5="Optimista",Supuestos!$B$7,Supuestos!$B$6))*IF(Resumen!$B$5="Conservador",Supuestos!$D$5,IF(Resumen!$B$5="Optimista",Supuestos!$D$7,Supuestos!$D$6)))</x:f>
        <x:v>0</x:v>
      </x:c>
      <x:c r="G22" s="16" t="n">
        <x:f>IF($B22="REAL",SUMIFS(Carga_Reales!$F:$F,Carga_Reales!$A:$A,$A22,Carga_Reales!$B:$B,$C22),SUMIFS(Proyecciones!$F:$F,Proyecciones!$A:$A,$A22,Proyecciones!$B:$B,$C22))*IF($B22="REAL",1,IF(Resumen!$B$5="Conservador",Supuestos!$B$5,IF(Resumen!$B$5="Optimista",Supuestos!$B$7,Supuestos!$B$6)))</x:f>
        <x:v>0</x:v>
      </x:c>
      <x:c r="H22" s="16" t="n">
        <x:f>IF($B22="REAL",SUMIFS(Carga_Reales!$G:$G,Carga_Reales!$A:$A,$A22,Carga_Reales!$B:$B,$C22),SUMIFS(Proyecciones!$G:$G,Proyecciones!$A:$A,$A22,Proyecciones!$B:$B,$C22))*IF($B22="REAL",1,IF(Resumen!$B$5="Conservador",Supuestos!$B$5,IF(Resumen!$B$5="Optimista",Supuestos!$B$7,Supuestos!$B$6)))</x:f>
        <x:v>0</x:v>
      </x:c>
      <x:c r="I22" s="16" t="n">
        <x:f>IF($B22="REAL",SUMIFS(Carga_Reales!$H:$H,Carga_Reales!$A:$A,$A22,Carga_Reales!$B:$B,$C22),SUMIFS(Proyecciones!$H:$H,Proyecciones!$A:$A,$A22,Proyecciones!$B:$B,$C22))*IF($B22="REAL",1,IF(Resumen!$B$5="Conservador",Supuestos!$B$5,IF(Resumen!$B$5="Optimista",Supuestos!$B$7,Supuestos!$B$6)))</x:f>
        <x:v>0</x:v>
      </x:c>
      <x:c r="J22" s="16" t="n">
        <x:f>IF($B22="REAL",SUMIFS(Carga_Reales!$I:$I,Carga_Reales!$A:$A,$A22,Carga_Reales!$B:$B,$C22),SUMIFS(Proyecciones!$I:$I,Proyecciones!$A:$A,$A22,Proyecciones!$B:$B,$C22))*IF($B22="REAL",1,IF(Resumen!$B$5="Conservador",Supuestos!$B$5,IF(Resumen!$B$5="Optimista",Supuestos!$B$7,Supuestos!$B$6)))</x:f>
        <x:v>0</x:v>
      </x:c>
      <x:c r="K22" s="16" t="n">
        <x:f>IF($B22="REAL",SUMIFS(Carga_Reales!$J:$J,Carga_Reales!$A:$A,$A22,Carga_Reales!$B:$B,$C22),SUMIFS(Proyecciones!$J:$J,Proyecciones!$A:$A,$A22,Proyecciones!$B:$B,$C22))*IF($B22="REAL",1,IF(Resumen!$B$5="Conservador",Supuestos!$B$5,IF(Resumen!$B$5="Optimista",Supuestos!$B$7,Supuestos!$B$6)))</x:f>
        <x:v>0</x:v>
      </x:c>
      <x:c r="L22" s="16" t="n">
        <x:f>IF($B22="REAL",SUMIFS(Carga_Reales!$K:$K,Carga_Reales!$A:$A,$A22,Carga_Reales!$B:$B,$C22),SUMIFS(Proyecciones!$K:$K,Proyecciones!$A:$A,$A22,Proyecciones!$B:$B,$C22))*IF($B22="REAL",1,IF(Resumen!$B$5="Conservador",Supuestos!$E$5,IF(Resumen!$B$5="Optimista",Supuestos!$E$7,Supuestos!$E$6)))</x:f>
        <x:v>0</x:v>
      </x:c>
      <x:c r="M22" s="16" t="n">
        <x:f>IF($B22="REAL",SUMIFS(Carga_Reales!$L:$L,Carga_Reales!$A:$A,$A22,Carga_Reales!$B:$B,$C22),SUMIFS(Proyecciones!$L:$L,Proyecciones!$A:$A,$A22,Proyecciones!$B:$B,$C22))*IF($B22="REAL",1,IF(Resumen!$B$5="Conservador",Supuestos!$E$5,IF(Resumen!$B$5="Optimista",Supuestos!$E$7,Supuestos!$E$6)))</x:f>
        <x:v>0</x:v>
      </x:c>
      <x:c r="N22" s="16" t="n">
        <x:f>E22+G22+H22+I22+J22+K22</x:f>
        <x:v>0</x:v>
      </x:c>
      <x:c r="O22" s="16" t="n">
        <x:f>E22-F22+G22+H22+I22+J22+K22-L22-M22</x:f>
        <x:v>0</x:v>
      </x:c>
      <x:c r="P22" s="16" t="n">
        <x:f>O22-IF($B22="REAL",SUMIFS(Carga_Reales!$M:$M,Carga_Reales!$A:$A,$A22,Carga_Reales!$B:$B,$C22),SUMIFS(Proyecciones!$M:$M,Proyecciones!$A:$A,$A22,Proyecciones!$B:$B,$C22))-IF($B22="REAL",SUMIFS(Carga_Reales!$N:$N,Carga_Reales!$A:$A,$A22,Carga_Reales!$B:$B,$C22),SUMIFS(Proyecciones!$N:$N,Proyecciones!$A:$A,$A22,Proyecciones!$B:$B,$C22))</x:f>
        <x:v>0</x:v>
      </x:c>
      <x:c r="Q22" s="16" t="n">
        <x:f>IF($B22="REAL",SUMIFS(Carga_Reales!$O:$O,Carga_Reales!$A:$A,$A22,Carga_Reales!$B:$B,$C22),SUMIFS(Proyecciones!$O:$O,Proyecciones!$A:$A,$A22,Proyecciones!$B:$B,$C22))</x:f>
        <x:v>0</x:v>
      </x:c>
      <x:c r="R22" s="16" t="n">
        <x:f>O22-Q22</x:f>
        <x:v>0</x:v>
      </x:c>
      <x:c r="S22" s="16" t="n">
        <x:f>E22-F22</x:f>
        <x:v>0</x:v>
      </x:c>
      <x:c r="T22" s="16" t="n">
        <x:f>L22+M22</x:f>
        <x:v>0</x:v>
      </x:c>
      <x:c r="U22" t="n">
        <x:f>IFERROR((L22+M22)/MAX(1,(S22+G22)/MAX(1,D22)),0)</x:f>
        <x:v>0</x:v>
      </x:c>
    </x:row>
    <x:row r="23">
      <x:c r="A23" s="26" t="n">
        <x:v>46204</x:v>
      </x:c>
      <x:c r="B23" t="str">
        <x:f>IF(EOMONTH($A23,0)&lt;=Resumen!$B$4,"REAL","PROYECTADO")</x:f>
        <x:v>REAL</x:v>
      </x:c>
      <x:c r="C23" t="str">
        <x:v>Moto para Todos</x:v>
      </x:c>
      <x:c r="D23" s="15" t="n">
        <x:f>IF($B23="REAL",SUMIFS(Carga_Reales!$C:$C,Carga_Reales!$A:$A,$A23,Carga_Reales!$B:$B,$C23),SUMIFS(Proyecciones!$C:$C,Proyecciones!$A:$A,$A23,Proyecciones!$B:$B,$C23))*IF($B23="REAL",1,IF(Resumen!$B$5="Conservador",Supuestos!$B$5,IF(Resumen!$B$5="Optimista",Supuestos!$B$7,Supuestos!$B$6)))</x:f>
        <x:v>0</x:v>
      </x:c>
      <x:c r="E23" s="16" t="n">
        <x:f>IF($B23="REAL",SUMIFS(Carga_Reales!$D:$D,Carga_Reales!$A:$A,$A23,Carga_Reales!$B:$B,$C23),SUMIFS(Proyecciones!$D:$D,Proyecciones!$A:$A,$A23,Proyecciones!$B:$B,$C23))*IF($B23="REAL",1,IF(Resumen!$B$5="Conservador",Supuestos!$B$5,IF(Resumen!$B$5="Optimista",Supuestos!$B$7,Supuestos!$B$6))*IF(Resumen!$B$5="Conservador",Supuestos!$C$5,IF(Resumen!$B$5="Optimista",Supuestos!$C$7,Supuestos!$C$6)))</x:f>
        <x:v>0</x:v>
      </x:c>
      <x:c r="F23" s="16" t="n">
        <x:f>IF($B23="REAL",SUMIFS(Carga_Reales!$E:$E,Carga_Reales!$A:$A,$A23,Carga_Reales!$B:$B,$C23),SUMIFS(Proyecciones!$E:$E,Proyecciones!$A:$A,$A23,Proyecciones!$B:$B,$C23))*IF($B23="REAL",1,IF(Resumen!$B$5="Conservador",Supuestos!$B$5,IF(Resumen!$B$5="Optimista",Supuestos!$B$7,Supuestos!$B$6))*IF(Resumen!$B$5="Conservador",Supuestos!$D$5,IF(Resumen!$B$5="Optimista",Supuestos!$D$7,Supuestos!$D$6)))</x:f>
        <x:v>0</x:v>
      </x:c>
      <x:c r="G23" s="16" t="n">
        <x:f>IF($B23="REAL",SUMIFS(Carga_Reales!$F:$F,Carga_Reales!$A:$A,$A23,Carga_Reales!$B:$B,$C23),SUMIFS(Proyecciones!$F:$F,Proyecciones!$A:$A,$A23,Proyecciones!$B:$B,$C23))*IF($B23="REAL",1,IF(Resumen!$B$5="Conservador",Supuestos!$B$5,IF(Resumen!$B$5="Optimista",Supuestos!$B$7,Supuestos!$B$6)))</x:f>
        <x:v>0</x:v>
      </x:c>
      <x:c r="H23" s="16" t="n">
        <x:f>IF($B23="REAL",SUMIFS(Carga_Reales!$G:$G,Carga_Reales!$A:$A,$A23,Carga_Reales!$B:$B,$C23),SUMIFS(Proyecciones!$G:$G,Proyecciones!$A:$A,$A23,Proyecciones!$B:$B,$C23))*IF($B23="REAL",1,IF(Resumen!$B$5="Conservador",Supuestos!$B$5,IF(Resumen!$B$5="Optimista",Supuestos!$B$7,Supuestos!$B$6)))</x:f>
        <x:v>0</x:v>
      </x:c>
      <x:c r="I23" s="16" t="n">
        <x:f>IF($B23="REAL",SUMIFS(Carga_Reales!$H:$H,Carga_Reales!$A:$A,$A23,Carga_Reales!$B:$B,$C23),SUMIFS(Proyecciones!$H:$H,Proyecciones!$A:$A,$A23,Proyecciones!$B:$B,$C23))*IF($B23="REAL",1,IF(Resumen!$B$5="Conservador",Supuestos!$B$5,IF(Resumen!$B$5="Optimista",Supuestos!$B$7,Supuestos!$B$6)))</x:f>
        <x:v>0</x:v>
      </x:c>
      <x:c r="J23" s="16" t="n">
        <x:f>IF($B23="REAL",SUMIFS(Carga_Reales!$I:$I,Carga_Reales!$A:$A,$A23,Carga_Reales!$B:$B,$C23),SUMIFS(Proyecciones!$I:$I,Proyecciones!$A:$A,$A23,Proyecciones!$B:$B,$C23))*IF($B23="REAL",1,IF(Resumen!$B$5="Conservador",Supuestos!$B$5,IF(Resumen!$B$5="Optimista",Supuestos!$B$7,Supuestos!$B$6)))</x:f>
        <x:v>0</x:v>
      </x:c>
      <x:c r="K23" s="16" t="n">
        <x:f>IF($B23="REAL",SUMIFS(Carga_Reales!$J:$J,Carga_Reales!$A:$A,$A23,Carga_Reales!$B:$B,$C23),SUMIFS(Proyecciones!$J:$J,Proyecciones!$A:$A,$A23,Proyecciones!$B:$B,$C23))*IF($B23="REAL",1,IF(Resumen!$B$5="Conservador",Supuestos!$B$5,IF(Resumen!$B$5="Optimista",Supuestos!$B$7,Supuestos!$B$6)))</x:f>
        <x:v>0</x:v>
      </x:c>
      <x:c r="L23" s="16" t="n">
        <x:f>IF($B23="REAL",SUMIFS(Carga_Reales!$K:$K,Carga_Reales!$A:$A,$A23,Carga_Reales!$B:$B,$C23),SUMIFS(Proyecciones!$K:$K,Proyecciones!$A:$A,$A23,Proyecciones!$B:$B,$C23))*IF($B23="REAL",1,IF(Resumen!$B$5="Conservador",Supuestos!$E$5,IF(Resumen!$B$5="Optimista",Supuestos!$E$7,Supuestos!$E$6)))</x:f>
        <x:v>0</x:v>
      </x:c>
      <x:c r="M23" s="16" t="n">
        <x:f>IF($B23="REAL",SUMIFS(Carga_Reales!$L:$L,Carga_Reales!$A:$A,$A23,Carga_Reales!$B:$B,$C23),SUMIFS(Proyecciones!$L:$L,Proyecciones!$A:$A,$A23,Proyecciones!$B:$B,$C23))*IF($B23="REAL",1,IF(Resumen!$B$5="Conservador",Supuestos!$E$5,IF(Resumen!$B$5="Optimista",Supuestos!$E$7,Supuestos!$E$6)))</x:f>
        <x:v>0</x:v>
      </x:c>
      <x:c r="N23" s="16" t="n">
        <x:f>E23+G23+H23+I23+J23+K23</x:f>
        <x:v>0</x:v>
      </x:c>
      <x:c r="O23" s="16" t="n">
        <x:f>E23-F23+G23+H23+I23+J23+K23-L23-M23</x:f>
        <x:v>0</x:v>
      </x:c>
      <x:c r="P23" s="16" t="n">
        <x:f>O23-IF($B23="REAL",SUMIFS(Carga_Reales!$M:$M,Carga_Reales!$A:$A,$A23,Carga_Reales!$B:$B,$C23),SUMIFS(Proyecciones!$M:$M,Proyecciones!$A:$A,$A23,Proyecciones!$B:$B,$C23))-IF($B23="REAL",SUMIFS(Carga_Reales!$N:$N,Carga_Reales!$A:$A,$A23,Carga_Reales!$B:$B,$C23),SUMIFS(Proyecciones!$N:$N,Proyecciones!$A:$A,$A23,Proyecciones!$B:$B,$C23))</x:f>
        <x:v>0</x:v>
      </x:c>
      <x:c r="Q23" s="16" t="n">
        <x:f>IF($B23="REAL",SUMIFS(Carga_Reales!$O:$O,Carga_Reales!$A:$A,$A23,Carga_Reales!$B:$B,$C23),SUMIFS(Proyecciones!$O:$O,Proyecciones!$A:$A,$A23,Proyecciones!$B:$B,$C23))</x:f>
        <x:v>0</x:v>
      </x:c>
      <x:c r="R23" s="16" t="n">
        <x:f>O23-Q23</x:f>
        <x:v>0</x:v>
      </x:c>
      <x:c r="S23" s="16" t="n">
        <x:f>E23-F23</x:f>
        <x:v>0</x:v>
      </x:c>
      <x:c r="T23" s="16" t="n">
        <x:f>L23+M23</x:f>
        <x:v>0</x:v>
      </x:c>
      <x:c r="U23" t="n">
        <x:f>IFERROR((L23+M23)/MAX(1,(S23+G23)/MAX(1,D23)),0)</x:f>
        <x:v>0</x:v>
      </x:c>
    </x:row>
    <x:row r="24">
      <x:c r="A24" s="26" t="n">
        <x:v>46204</x:v>
      </x:c>
      <x:c r="B24" t="str">
        <x:f>IF(EOMONTH($A24,0)&lt;=Resumen!$B$4,"REAL","PROYECTADO")</x:f>
        <x:v>REAL</x:v>
      </x:c>
      <x:c r="C24" t="str">
        <x:v>Verificarte</x:v>
      </x:c>
      <x:c r="D24" s="15" t="n">
        <x:f>IF($B24="REAL",SUMIFS(Carga_Reales!$C:$C,Carga_Reales!$A:$A,$A24,Carga_Reales!$B:$B,$C24),SUMIFS(Proyecciones!$C:$C,Proyecciones!$A:$A,$A24,Proyecciones!$B:$B,$C24))*IF($B24="REAL",1,IF(Resumen!$B$5="Conservador",Supuestos!$B$5,IF(Resumen!$B$5="Optimista",Supuestos!$B$7,Supuestos!$B$6)))</x:f>
        <x:v>0</x:v>
      </x:c>
      <x:c r="E24" s="16" t="n">
        <x:f>IF($B24="REAL",SUMIFS(Carga_Reales!$D:$D,Carga_Reales!$A:$A,$A24,Carga_Reales!$B:$B,$C24),SUMIFS(Proyecciones!$D:$D,Proyecciones!$A:$A,$A24,Proyecciones!$B:$B,$C24))*IF($B24="REAL",1,IF(Resumen!$B$5="Conservador",Supuestos!$B$5,IF(Resumen!$B$5="Optimista",Supuestos!$B$7,Supuestos!$B$6))*IF(Resumen!$B$5="Conservador",Supuestos!$C$5,IF(Resumen!$B$5="Optimista",Supuestos!$C$7,Supuestos!$C$6)))</x:f>
        <x:v>0</x:v>
      </x:c>
      <x:c r="F24" s="16" t="n">
        <x:f>IF($B24="REAL",SUMIFS(Carga_Reales!$E:$E,Carga_Reales!$A:$A,$A24,Carga_Reales!$B:$B,$C24),SUMIFS(Proyecciones!$E:$E,Proyecciones!$A:$A,$A24,Proyecciones!$B:$B,$C24))*IF($B24="REAL",1,IF(Resumen!$B$5="Conservador",Supuestos!$B$5,IF(Resumen!$B$5="Optimista",Supuestos!$B$7,Supuestos!$B$6))*IF(Resumen!$B$5="Conservador",Supuestos!$D$5,IF(Resumen!$B$5="Optimista",Supuestos!$D$7,Supuestos!$D$6)))</x:f>
        <x:v>0</x:v>
      </x:c>
      <x:c r="G24" s="16" t="n">
        <x:f>IF($B24="REAL",SUMIFS(Carga_Reales!$F:$F,Carga_Reales!$A:$A,$A24,Carga_Reales!$B:$B,$C24),SUMIFS(Proyecciones!$F:$F,Proyecciones!$A:$A,$A24,Proyecciones!$B:$B,$C24))*IF($B24="REAL",1,IF(Resumen!$B$5="Conservador",Supuestos!$B$5,IF(Resumen!$B$5="Optimista",Supuestos!$B$7,Supuestos!$B$6)))</x:f>
        <x:v>0</x:v>
      </x:c>
      <x:c r="H24" s="16" t="n">
        <x:f>IF($B24="REAL",SUMIFS(Carga_Reales!$G:$G,Carga_Reales!$A:$A,$A24,Carga_Reales!$B:$B,$C24),SUMIFS(Proyecciones!$G:$G,Proyecciones!$A:$A,$A24,Proyecciones!$B:$B,$C24))*IF($B24="REAL",1,IF(Resumen!$B$5="Conservador",Supuestos!$B$5,IF(Resumen!$B$5="Optimista",Supuestos!$B$7,Supuestos!$B$6)))</x:f>
        <x:v>0</x:v>
      </x:c>
      <x:c r="I24" s="16" t="n">
        <x:f>IF($B24="REAL",SUMIFS(Carga_Reales!$H:$H,Carga_Reales!$A:$A,$A24,Carga_Reales!$B:$B,$C24),SUMIFS(Proyecciones!$H:$H,Proyecciones!$A:$A,$A24,Proyecciones!$B:$B,$C24))*IF($B24="REAL",1,IF(Resumen!$B$5="Conservador",Supuestos!$B$5,IF(Resumen!$B$5="Optimista",Supuestos!$B$7,Supuestos!$B$6)))</x:f>
        <x:v>0</x:v>
      </x:c>
      <x:c r="J24" s="16" t="n">
        <x:f>IF($B24="REAL",SUMIFS(Carga_Reales!$I:$I,Carga_Reales!$A:$A,$A24,Carga_Reales!$B:$B,$C24),SUMIFS(Proyecciones!$I:$I,Proyecciones!$A:$A,$A24,Proyecciones!$B:$B,$C24))*IF($B24="REAL",1,IF(Resumen!$B$5="Conservador",Supuestos!$B$5,IF(Resumen!$B$5="Optimista",Supuestos!$B$7,Supuestos!$B$6)))</x:f>
        <x:v>0</x:v>
      </x:c>
      <x:c r="K24" s="16" t="n">
        <x:f>IF($B24="REAL",SUMIFS(Carga_Reales!$J:$J,Carga_Reales!$A:$A,$A24,Carga_Reales!$B:$B,$C24),SUMIFS(Proyecciones!$J:$J,Proyecciones!$A:$A,$A24,Proyecciones!$B:$B,$C24))*IF($B24="REAL",1,IF(Resumen!$B$5="Conservador",Supuestos!$B$5,IF(Resumen!$B$5="Optimista",Supuestos!$B$7,Supuestos!$B$6)))</x:f>
        <x:v>0</x:v>
      </x:c>
      <x:c r="L24" s="16" t="n">
        <x:f>IF($B24="REAL",SUMIFS(Carga_Reales!$K:$K,Carga_Reales!$A:$A,$A24,Carga_Reales!$B:$B,$C24),SUMIFS(Proyecciones!$K:$K,Proyecciones!$A:$A,$A24,Proyecciones!$B:$B,$C24))*IF($B24="REAL",1,IF(Resumen!$B$5="Conservador",Supuestos!$E$5,IF(Resumen!$B$5="Optimista",Supuestos!$E$7,Supuestos!$E$6)))</x:f>
        <x:v>0</x:v>
      </x:c>
      <x:c r="M24" s="16" t="n">
        <x:f>IF($B24="REAL",SUMIFS(Carga_Reales!$L:$L,Carga_Reales!$A:$A,$A24,Carga_Reales!$B:$B,$C24),SUMIFS(Proyecciones!$L:$L,Proyecciones!$A:$A,$A24,Proyecciones!$B:$B,$C24))*IF($B24="REAL",1,IF(Resumen!$B$5="Conservador",Supuestos!$E$5,IF(Resumen!$B$5="Optimista",Supuestos!$E$7,Supuestos!$E$6)))</x:f>
        <x:v>0</x:v>
      </x:c>
      <x:c r="N24" s="16" t="n">
        <x:f>E24+G24+H24+I24+J24+K24</x:f>
        <x:v>0</x:v>
      </x:c>
      <x:c r="O24" s="16" t="n">
        <x:f>E24-F24+G24+H24+I24+J24+K24-L24-M24</x:f>
        <x:v>0</x:v>
      </x:c>
      <x:c r="P24" s="16" t="n">
        <x:f>O24-IF($B24="REAL",SUMIFS(Carga_Reales!$M:$M,Carga_Reales!$A:$A,$A24,Carga_Reales!$B:$B,$C24),SUMIFS(Proyecciones!$M:$M,Proyecciones!$A:$A,$A24,Proyecciones!$B:$B,$C24))-IF($B24="REAL",SUMIFS(Carga_Reales!$N:$N,Carga_Reales!$A:$A,$A24,Carga_Reales!$B:$B,$C24),SUMIFS(Proyecciones!$N:$N,Proyecciones!$A:$A,$A24,Proyecciones!$B:$B,$C24))</x:f>
        <x:v>0</x:v>
      </x:c>
      <x:c r="Q24" s="16" t="n">
        <x:f>IF($B24="REAL",SUMIFS(Carga_Reales!$O:$O,Carga_Reales!$A:$A,$A24,Carga_Reales!$B:$B,$C24),SUMIFS(Proyecciones!$O:$O,Proyecciones!$A:$A,$A24,Proyecciones!$B:$B,$C24))</x:f>
        <x:v>0</x:v>
      </x:c>
      <x:c r="R24" s="16" t="n">
        <x:f>O24-Q24</x:f>
        <x:v>0</x:v>
      </x:c>
      <x:c r="S24" s="16" t="n">
        <x:f>E24-F24</x:f>
        <x:v>0</x:v>
      </x:c>
      <x:c r="T24" s="16" t="n">
        <x:f>L24+M24</x:f>
        <x:v>0</x:v>
      </x:c>
      <x:c r="U24" t="n">
        <x:f>IFERROR((L24+M24)/MAX(1,(S24+G24)/MAX(1,D24)),0)</x:f>
        <x:v>0</x:v>
      </x:c>
    </x:row>
    <x:row r="25">
      <x:c r="A25" s="26" t="n">
        <x:v>46204</x:v>
      </x:c>
      <x:c r="B25" t="str">
        <x:f>IF(EOMONTH($A25,0)&lt;=Resumen!$B$4,"REAL","PROYECTADO")</x:f>
        <x:v>REAL</x:v>
      </x:c>
      <x:c r="C25" t="str">
        <x:v>TuClick</x:v>
      </x:c>
      <x:c r="D25" s="15" t="n">
        <x:f>IF($B25="REAL",SUMIFS(Carga_Reales!$C:$C,Carga_Reales!$A:$A,$A25,Carga_Reales!$B:$B,$C25),SUMIFS(Proyecciones!$C:$C,Proyecciones!$A:$A,$A25,Proyecciones!$B:$B,$C25))*IF($B25="REAL",1,IF(Resumen!$B$5="Conservador",Supuestos!$B$5,IF(Resumen!$B$5="Optimista",Supuestos!$B$7,Supuestos!$B$6)))</x:f>
        <x:v>0</x:v>
      </x:c>
      <x:c r="E25" s="16" t="n">
        <x:f>IF($B25="REAL",SUMIFS(Carga_Reales!$D:$D,Carga_Reales!$A:$A,$A25,Carga_Reales!$B:$B,$C25),SUMIFS(Proyecciones!$D:$D,Proyecciones!$A:$A,$A25,Proyecciones!$B:$B,$C25))*IF($B25="REAL",1,IF(Resumen!$B$5="Conservador",Supuestos!$B$5,IF(Resumen!$B$5="Optimista",Supuestos!$B$7,Supuestos!$B$6))*IF(Resumen!$B$5="Conservador",Supuestos!$C$5,IF(Resumen!$B$5="Optimista",Supuestos!$C$7,Supuestos!$C$6)))</x:f>
        <x:v>0</x:v>
      </x:c>
      <x:c r="F25" s="16" t="n">
        <x:f>IF($B25="REAL",SUMIFS(Carga_Reales!$E:$E,Carga_Reales!$A:$A,$A25,Carga_Reales!$B:$B,$C25),SUMIFS(Proyecciones!$E:$E,Proyecciones!$A:$A,$A25,Proyecciones!$B:$B,$C25))*IF($B25="REAL",1,IF(Resumen!$B$5="Conservador",Supuestos!$B$5,IF(Resumen!$B$5="Optimista",Supuestos!$B$7,Supuestos!$B$6))*IF(Resumen!$B$5="Conservador",Supuestos!$D$5,IF(Resumen!$B$5="Optimista",Supuestos!$D$7,Supuestos!$D$6)))</x:f>
        <x:v>0</x:v>
      </x:c>
      <x:c r="G25" s="16" t="n">
        <x:f>IF($B25="REAL",SUMIFS(Carga_Reales!$F:$F,Carga_Reales!$A:$A,$A25,Carga_Reales!$B:$B,$C25),SUMIFS(Proyecciones!$F:$F,Proyecciones!$A:$A,$A25,Proyecciones!$B:$B,$C25))*IF($B25="REAL",1,IF(Resumen!$B$5="Conservador",Supuestos!$B$5,IF(Resumen!$B$5="Optimista",Supuestos!$B$7,Supuestos!$B$6)))</x:f>
        <x:v>0</x:v>
      </x:c>
      <x:c r="H25" s="16" t="n">
        <x:f>IF($B25="REAL",SUMIFS(Carga_Reales!$G:$G,Carga_Reales!$A:$A,$A25,Carga_Reales!$B:$B,$C25),SUMIFS(Proyecciones!$G:$G,Proyecciones!$A:$A,$A25,Proyecciones!$B:$B,$C25))*IF($B25="REAL",1,IF(Resumen!$B$5="Conservador",Supuestos!$B$5,IF(Resumen!$B$5="Optimista",Supuestos!$B$7,Supuestos!$B$6)))</x:f>
        <x:v>0</x:v>
      </x:c>
      <x:c r="I25" s="16" t="n">
        <x:f>IF($B25="REAL",SUMIFS(Carga_Reales!$H:$H,Carga_Reales!$A:$A,$A25,Carga_Reales!$B:$B,$C25),SUMIFS(Proyecciones!$H:$H,Proyecciones!$A:$A,$A25,Proyecciones!$B:$B,$C25))*IF($B25="REAL",1,IF(Resumen!$B$5="Conservador",Supuestos!$B$5,IF(Resumen!$B$5="Optimista",Supuestos!$B$7,Supuestos!$B$6)))</x:f>
        <x:v>0</x:v>
      </x:c>
      <x:c r="J25" s="16" t="n">
        <x:f>IF($B25="REAL",SUMIFS(Carga_Reales!$I:$I,Carga_Reales!$A:$A,$A25,Carga_Reales!$B:$B,$C25),SUMIFS(Proyecciones!$I:$I,Proyecciones!$A:$A,$A25,Proyecciones!$B:$B,$C25))*IF($B25="REAL",1,IF(Resumen!$B$5="Conservador",Supuestos!$B$5,IF(Resumen!$B$5="Optimista",Supuestos!$B$7,Supuestos!$B$6)))</x:f>
        <x:v>0</x:v>
      </x:c>
      <x:c r="K25" s="16" t="n">
        <x:f>IF($B25="REAL",SUMIFS(Carga_Reales!$J:$J,Carga_Reales!$A:$A,$A25,Carga_Reales!$B:$B,$C25),SUMIFS(Proyecciones!$J:$J,Proyecciones!$A:$A,$A25,Proyecciones!$B:$B,$C25))*IF($B25="REAL",1,IF(Resumen!$B$5="Conservador",Supuestos!$B$5,IF(Resumen!$B$5="Optimista",Supuestos!$B$7,Supuestos!$B$6)))</x:f>
        <x:v>0</x:v>
      </x:c>
      <x:c r="L25" s="16" t="n">
        <x:f>IF($B25="REAL",SUMIFS(Carga_Reales!$K:$K,Carga_Reales!$A:$A,$A25,Carga_Reales!$B:$B,$C25),SUMIFS(Proyecciones!$K:$K,Proyecciones!$A:$A,$A25,Proyecciones!$B:$B,$C25))*IF($B25="REAL",1,IF(Resumen!$B$5="Conservador",Supuestos!$E$5,IF(Resumen!$B$5="Optimista",Supuestos!$E$7,Supuestos!$E$6)))</x:f>
        <x:v>0</x:v>
      </x:c>
      <x:c r="M25" s="16" t="n">
        <x:f>IF($B25="REAL",SUMIFS(Carga_Reales!$L:$L,Carga_Reales!$A:$A,$A25,Carga_Reales!$B:$B,$C25),SUMIFS(Proyecciones!$L:$L,Proyecciones!$A:$A,$A25,Proyecciones!$B:$B,$C25))*IF($B25="REAL",1,IF(Resumen!$B$5="Conservador",Supuestos!$E$5,IF(Resumen!$B$5="Optimista",Supuestos!$E$7,Supuestos!$E$6)))</x:f>
        <x:v>0</x:v>
      </x:c>
      <x:c r="N25" s="16" t="n">
        <x:f>E25+G25+H25+I25+J25+K25</x:f>
        <x:v>0</x:v>
      </x:c>
      <x:c r="O25" s="16" t="n">
        <x:f>E25-F25+G25+H25+I25+J25+K25-L25-M25</x:f>
        <x:v>0</x:v>
      </x:c>
      <x:c r="P25" s="16" t="n">
        <x:f>O25-IF($B25="REAL",SUMIFS(Carga_Reales!$M:$M,Carga_Reales!$A:$A,$A25,Carga_Reales!$B:$B,$C25),SUMIFS(Proyecciones!$M:$M,Proyecciones!$A:$A,$A25,Proyecciones!$B:$B,$C25))-IF($B25="REAL",SUMIFS(Carga_Reales!$N:$N,Carga_Reales!$A:$A,$A25,Carga_Reales!$B:$B,$C25),SUMIFS(Proyecciones!$N:$N,Proyecciones!$A:$A,$A25,Proyecciones!$B:$B,$C25))</x:f>
        <x:v>0</x:v>
      </x:c>
      <x:c r="Q25" s="16" t="n">
        <x:f>IF($B25="REAL",SUMIFS(Carga_Reales!$O:$O,Carga_Reales!$A:$A,$A25,Carga_Reales!$B:$B,$C25),SUMIFS(Proyecciones!$O:$O,Proyecciones!$A:$A,$A25,Proyecciones!$B:$B,$C25))</x:f>
        <x:v>0</x:v>
      </x:c>
      <x:c r="R25" s="16" t="n">
        <x:f>O25-Q25</x:f>
        <x:v>0</x:v>
      </x:c>
      <x:c r="S25" s="16" t="n">
        <x:f>E25-F25</x:f>
        <x:v>0</x:v>
      </x:c>
      <x:c r="T25" s="16" t="n">
        <x:f>L25+M25</x:f>
        <x:v>0</x:v>
      </x:c>
      <x:c r="U25" t="n">
        <x:f>IFERROR((L25+M25)/MAX(1,(S25+G25)/MAX(1,D25)),0)</x:f>
        <x:v>0</x:v>
      </x:c>
    </x:row>
    <x:row r="26">
      <x:c r="A26" s="26" t="n">
        <x:v>46235</x:v>
      </x:c>
      <x:c r="B26" t="str">
        <x:f>IF(EOMONTH($A26,0)&lt;=Resumen!$B$4,"REAL","PROYECTADO")</x:f>
        <x:v>REAL</x:v>
      </x:c>
      <x:c r="C26" t="str">
        <x:v>Moto para Todos</x:v>
      </x:c>
      <x:c r="D26" s="15" t="n">
        <x:f>IF($B26="REAL",SUMIFS(Carga_Reales!$C:$C,Carga_Reales!$A:$A,$A26,Carga_Reales!$B:$B,$C26),SUMIFS(Proyecciones!$C:$C,Proyecciones!$A:$A,$A26,Proyecciones!$B:$B,$C26))*IF($B26="REAL",1,IF(Resumen!$B$5="Conservador",Supuestos!$B$5,IF(Resumen!$B$5="Optimista",Supuestos!$B$7,Supuestos!$B$6)))</x:f>
        <x:v>0</x:v>
      </x:c>
      <x:c r="E26" s="16" t="n">
        <x:f>IF($B26="REAL",SUMIFS(Carga_Reales!$D:$D,Carga_Reales!$A:$A,$A26,Carga_Reales!$B:$B,$C26),SUMIFS(Proyecciones!$D:$D,Proyecciones!$A:$A,$A26,Proyecciones!$B:$B,$C26))*IF($B26="REAL",1,IF(Resumen!$B$5="Conservador",Supuestos!$B$5,IF(Resumen!$B$5="Optimista",Supuestos!$B$7,Supuestos!$B$6))*IF(Resumen!$B$5="Conservador",Supuestos!$C$5,IF(Resumen!$B$5="Optimista",Supuestos!$C$7,Supuestos!$C$6)))</x:f>
        <x:v>0</x:v>
      </x:c>
      <x:c r="F26" s="16" t="n">
        <x:f>IF($B26="REAL",SUMIFS(Carga_Reales!$E:$E,Carga_Reales!$A:$A,$A26,Carga_Reales!$B:$B,$C26),SUMIFS(Proyecciones!$E:$E,Proyecciones!$A:$A,$A26,Proyecciones!$B:$B,$C26))*IF($B26="REAL",1,IF(Resumen!$B$5="Conservador",Supuestos!$B$5,IF(Resumen!$B$5="Optimista",Supuestos!$B$7,Supuestos!$B$6))*IF(Resumen!$B$5="Conservador",Supuestos!$D$5,IF(Resumen!$B$5="Optimista",Supuestos!$D$7,Supuestos!$D$6)))</x:f>
        <x:v>0</x:v>
      </x:c>
      <x:c r="G26" s="16" t="n">
        <x:f>IF($B26="REAL",SUMIFS(Carga_Reales!$F:$F,Carga_Reales!$A:$A,$A26,Carga_Reales!$B:$B,$C26),SUMIFS(Proyecciones!$F:$F,Proyecciones!$A:$A,$A26,Proyecciones!$B:$B,$C26))*IF($B26="REAL",1,IF(Resumen!$B$5="Conservador",Supuestos!$B$5,IF(Resumen!$B$5="Optimista",Supuestos!$B$7,Supuestos!$B$6)))</x:f>
        <x:v>0</x:v>
      </x:c>
      <x:c r="H26" s="16" t="n">
        <x:f>IF($B26="REAL",SUMIFS(Carga_Reales!$G:$G,Carga_Reales!$A:$A,$A26,Carga_Reales!$B:$B,$C26),SUMIFS(Proyecciones!$G:$G,Proyecciones!$A:$A,$A26,Proyecciones!$B:$B,$C26))*IF($B26="REAL",1,IF(Resumen!$B$5="Conservador",Supuestos!$B$5,IF(Resumen!$B$5="Optimista",Supuestos!$B$7,Supuestos!$B$6)))</x:f>
        <x:v>0</x:v>
      </x:c>
      <x:c r="I26" s="16" t="n">
        <x:f>IF($B26="REAL",SUMIFS(Carga_Reales!$H:$H,Carga_Reales!$A:$A,$A26,Carga_Reales!$B:$B,$C26),SUMIFS(Proyecciones!$H:$H,Proyecciones!$A:$A,$A26,Proyecciones!$B:$B,$C26))*IF($B26="REAL",1,IF(Resumen!$B$5="Conservador",Supuestos!$B$5,IF(Resumen!$B$5="Optimista",Supuestos!$B$7,Supuestos!$B$6)))</x:f>
        <x:v>0</x:v>
      </x:c>
      <x:c r="J26" s="16" t="n">
        <x:f>IF($B26="REAL",SUMIFS(Carga_Reales!$I:$I,Carga_Reales!$A:$A,$A26,Carga_Reales!$B:$B,$C26),SUMIFS(Proyecciones!$I:$I,Proyecciones!$A:$A,$A26,Proyecciones!$B:$B,$C26))*IF($B26="REAL",1,IF(Resumen!$B$5="Conservador",Supuestos!$B$5,IF(Resumen!$B$5="Optimista",Supuestos!$B$7,Supuestos!$B$6)))</x:f>
        <x:v>0</x:v>
      </x:c>
      <x:c r="K26" s="16" t="n">
        <x:f>IF($B26="REAL",SUMIFS(Carga_Reales!$J:$J,Carga_Reales!$A:$A,$A26,Carga_Reales!$B:$B,$C26),SUMIFS(Proyecciones!$J:$J,Proyecciones!$A:$A,$A26,Proyecciones!$B:$B,$C26))*IF($B26="REAL",1,IF(Resumen!$B$5="Conservador",Supuestos!$B$5,IF(Resumen!$B$5="Optimista",Supuestos!$B$7,Supuestos!$B$6)))</x:f>
        <x:v>0</x:v>
      </x:c>
      <x:c r="L26" s="16" t="n">
        <x:f>IF($B26="REAL",SUMIFS(Carga_Reales!$K:$K,Carga_Reales!$A:$A,$A26,Carga_Reales!$B:$B,$C26),SUMIFS(Proyecciones!$K:$K,Proyecciones!$A:$A,$A26,Proyecciones!$B:$B,$C26))*IF($B26="REAL",1,IF(Resumen!$B$5="Conservador",Supuestos!$E$5,IF(Resumen!$B$5="Optimista",Supuestos!$E$7,Supuestos!$E$6)))</x:f>
        <x:v>0</x:v>
      </x:c>
      <x:c r="M26" s="16" t="n">
        <x:f>IF($B26="REAL",SUMIFS(Carga_Reales!$L:$L,Carga_Reales!$A:$A,$A26,Carga_Reales!$B:$B,$C26),SUMIFS(Proyecciones!$L:$L,Proyecciones!$A:$A,$A26,Proyecciones!$B:$B,$C26))*IF($B26="REAL",1,IF(Resumen!$B$5="Conservador",Supuestos!$E$5,IF(Resumen!$B$5="Optimista",Supuestos!$E$7,Supuestos!$E$6)))</x:f>
        <x:v>0</x:v>
      </x:c>
      <x:c r="N26" s="16" t="n">
        <x:f>E26+G26+H26+I26+J26+K26</x:f>
        <x:v>0</x:v>
      </x:c>
      <x:c r="O26" s="16" t="n">
        <x:f>E26-F26+G26+H26+I26+J26+K26-L26-M26</x:f>
        <x:v>0</x:v>
      </x:c>
      <x:c r="P26" s="16" t="n">
        <x:f>O26-IF($B26="REAL",SUMIFS(Carga_Reales!$M:$M,Carga_Reales!$A:$A,$A26,Carga_Reales!$B:$B,$C26),SUMIFS(Proyecciones!$M:$M,Proyecciones!$A:$A,$A26,Proyecciones!$B:$B,$C26))-IF($B26="REAL",SUMIFS(Carga_Reales!$N:$N,Carga_Reales!$A:$A,$A26,Carga_Reales!$B:$B,$C26),SUMIFS(Proyecciones!$N:$N,Proyecciones!$A:$A,$A26,Proyecciones!$B:$B,$C26))</x:f>
        <x:v>0</x:v>
      </x:c>
      <x:c r="Q26" s="16" t="n">
        <x:f>IF($B26="REAL",SUMIFS(Carga_Reales!$O:$O,Carga_Reales!$A:$A,$A26,Carga_Reales!$B:$B,$C26),SUMIFS(Proyecciones!$O:$O,Proyecciones!$A:$A,$A26,Proyecciones!$B:$B,$C26))</x:f>
        <x:v>0</x:v>
      </x:c>
      <x:c r="R26" s="16" t="n">
        <x:f>O26-Q26</x:f>
        <x:v>0</x:v>
      </x:c>
      <x:c r="S26" s="16" t="n">
        <x:f>E26-F26</x:f>
        <x:v>0</x:v>
      </x:c>
      <x:c r="T26" s="16" t="n">
        <x:f>L26+M26</x:f>
        <x:v>0</x:v>
      </x:c>
      <x:c r="U26" t="n">
        <x:f>IFERROR((L26+M26)/MAX(1,(S26+G26)/MAX(1,D26)),0)</x:f>
        <x:v>0</x:v>
      </x:c>
    </x:row>
    <x:row r="27">
      <x:c r="A27" s="26" t="n">
        <x:v>46235</x:v>
      </x:c>
      <x:c r="B27" t="str">
        <x:f>IF(EOMONTH($A27,0)&lt;=Resumen!$B$4,"REAL","PROYECTADO")</x:f>
        <x:v>REAL</x:v>
      </x:c>
      <x:c r="C27" t="str">
        <x:v>Verificarte</x:v>
      </x:c>
      <x:c r="D27" s="15" t="n">
        <x:f>IF($B27="REAL",SUMIFS(Carga_Reales!$C:$C,Carga_Reales!$A:$A,$A27,Carga_Reales!$B:$B,$C27),SUMIFS(Proyecciones!$C:$C,Proyecciones!$A:$A,$A27,Proyecciones!$B:$B,$C27))*IF($B27="REAL",1,IF(Resumen!$B$5="Conservador",Supuestos!$B$5,IF(Resumen!$B$5="Optimista",Supuestos!$B$7,Supuestos!$B$6)))</x:f>
        <x:v>0</x:v>
      </x:c>
      <x:c r="E27" s="16" t="n">
        <x:f>IF($B27="REAL",SUMIFS(Carga_Reales!$D:$D,Carga_Reales!$A:$A,$A27,Carga_Reales!$B:$B,$C27),SUMIFS(Proyecciones!$D:$D,Proyecciones!$A:$A,$A27,Proyecciones!$B:$B,$C27))*IF($B27="REAL",1,IF(Resumen!$B$5="Conservador",Supuestos!$B$5,IF(Resumen!$B$5="Optimista",Supuestos!$B$7,Supuestos!$B$6))*IF(Resumen!$B$5="Conservador",Supuestos!$C$5,IF(Resumen!$B$5="Optimista",Supuestos!$C$7,Supuestos!$C$6)))</x:f>
        <x:v>0</x:v>
      </x:c>
      <x:c r="F27" s="16" t="n">
        <x:f>IF($B27="REAL",SUMIFS(Carga_Reales!$E:$E,Carga_Reales!$A:$A,$A27,Carga_Reales!$B:$B,$C27),SUMIFS(Proyecciones!$E:$E,Proyecciones!$A:$A,$A27,Proyecciones!$B:$B,$C27))*IF($B27="REAL",1,IF(Resumen!$B$5="Conservador",Supuestos!$B$5,IF(Resumen!$B$5="Optimista",Supuestos!$B$7,Supuestos!$B$6))*IF(Resumen!$B$5="Conservador",Supuestos!$D$5,IF(Resumen!$B$5="Optimista",Supuestos!$D$7,Supuestos!$D$6)))</x:f>
        <x:v>0</x:v>
      </x:c>
      <x:c r="G27" s="16" t="n">
        <x:f>IF($B27="REAL",SUMIFS(Carga_Reales!$F:$F,Carga_Reales!$A:$A,$A27,Carga_Reales!$B:$B,$C27),SUMIFS(Proyecciones!$F:$F,Proyecciones!$A:$A,$A27,Proyecciones!$B:$B,$C27))*IF($B27="REAL",1,IF(Resumen!$B$5="Conservador",Supuestos!$B$5,IF(Resumen!$B$5="Optimista",Supuestos!$B$7,Supuestos!$B$6)))</x:f>
        <x:v>0</x:v>
      </x:c>
      <x:c r="H27" s="16" t="n">
        <x:f>IF($B27="REAL",SUMIFS(Carga_Reales!$G:$G,Carga_Reales!$A:$A,$A27,Carga_Reales!$B:$B,$C27),SUMIFS(Proyecciones!$G:$G,Proyecciones!$A:$A,$A27,Proyecciones!$B:$B,$C27))*IF($B27="REAL",1,IF(Resumen!$B$5="Conservador",Supuestos!$B$5,IF(Resumen!$B$5="Optimista",Supuestos!$B$7,Supuestos!$B$6)))</x:f>
        <x:v>0</x:v>
      </x:c>
      <x:c r="I27" s="16" t="n">
        <x:f>IF($B27="REAL",SUMIFS(Carga_Reales!$H:$H,Carga_Reales!$A:$A,$A27,Carga_Reales!$B:$B,$C27),SUMIFS(Proyecciones!$H:$H,Proyecciones!$A:$A,$A27,Proyecciones!$B:$B,$C27))*IF($B27="REAL",1,IF(Resumen!$B$5="Conservador",Supuestos!$B$5,IF(Resumen!$B$5="Optimista",Supuestos!$B$7,Supuestos!$B$6)))</x:f>
        <x:v>0</x:v>
      </x:c>
      <x:c r="J27" s="16" t="n">
        <x:f>IF($B27="REAL",SUMIFS(Carga_Reales!$I:$I,Carga_Reales!$A:$A,$A27,Carga_Reales!$B:$B,$C27),SUMIFS(Proyecciones!$I:$I,Proyecciones!$A:$A,$A27,Proyecciones!$B:$B,$C27))*IF($B27="REAL",1,IF(Resumen!$B$5="Conservador",Supuestos!$B$5,IF(Resumen!$B$5="Optimista",Supuestos!$B$7,Supuestos!$B$6)))</x:f>
        <x:v>0</x:v>
      </x:c>
      <x:c r="K27" s="16" t="n">
        <x:f>IF($B27="REAL",SUMIFS(Carga_Reales!$J:$J,Carga_Reales!$A:$A,$A27,Carga_Reales!$B:$B,$C27),SUMIFS(Proyecciones!$J:$J,Proyecciones!$A:$A,$A27,Proyecciones!$B:$B,$C27))*IF($B27="REAL",1,IF(Resumen!$B$5="Conservador",Supuestos!$B$5,IF(Resumen!$B$5="Optimista",Supuestos!$B$7,Supuestos!$B$6)))</x:f>
        <x:v>0</x:v>
      </x:c>
      <x:c r="L27" s="16" t="n">
        <x:f>IF($B27="REAL",SUMIFS(Carga_Reales!$K:$K,Carga_Reales!$A:$A,$A27,Carga_Reales!$B:$B,$C27),SUMIFS(Proyecciones!$K:$K,Proyecciones!$A:$A,$A27,Proyecciones!$B:$B,$C27))*IF($B27="REAL",1,IF(Resumen!$B$5="Conservador",Supuestos!$E$5,IF(Resumen!$B$5="Optimista",Supuestos!$E$7,Supuestos!$E$6)))</x:f>
        <x:v>0</x:v>
      </x:c>
      <x:c r="M27" s="16" t="n">
        <x:f>IF($B27="REAL",SUMIFS(Carga_Reales!$L:$L,Carga_Reales!$A:$A,$A27,Carga_Reales!$B:$B,$C27),SUMIFS(Proyecciones!$L:$L,Proyecciones!$A:$A,$A27,Proyecciones!$B:$B,$C27))*IF($B27="REAL",1,IF(Resumen!$B$5="Conservador",Supuestos!$E$5,IF(Resumen!$B$5="Optimista",Supuestos!$E$7,Supuestos!$E$6)))</x:f>
        <x:v>0</x:v>
      </x:c>
      <x:c r="N27" s="16" t="n">
        <x:f>E27+G27+H27+I27+J27+K27</x:f>
        <x:v>0</x:v>
      </x:c>
      <x:c r="O27" s="16" t="n">
        <x:f>E27-F27+G27+H27+I27+J27+K27-L27-M27</x:f>
        <x:v>0</x:v>
      </x:c>
      <x:c r="P27" s="16" t="n">
        <x:f>O27-IF($B27="REAL",SUMIFS(Carga_Reales!$M:$M,Carga_Reales!$A:$A,$A27,Carga_Reales!$B:$B,$C27),SUMIFS(Proyecciones!$M:$M,Proyecciones!$A:$A,$A27,Proyecciones!$B:$B,$C27))-IF($B27="REAL",SUMIFS(Carga_Reales!$N:$N,Carga_Reales!$A:$A,$A27,Carga_Reales!$B:$B,$C27),SUMIFS(Proyecciones!$N:$N,Proyecciones!$A:$A,$A27,Proyecciones!$B:$B,$C27))</x:f>
        <x:v>0</x:v>
      </x:c>
      <x:c r="Q27" s="16" t="n">
        <x:f>IF($B27="REAL",SUMIFS(Carga_Reales!$O:$O,Carga_Reales!$A:$A,$A27,Carga_Reales!$B:$B,$C27),SUMIFS(Proyecciones!$O:$O,Proyecciones!$A:$A,$A27,Proyecciones!$B:$B,$C27))</x:f>
        <x:v>0</x:v>
      </x:c>
      <x:c r="R27" s="16" t="n">
        <x:f>O27-Q27</x:f>
        <x:v>0</x:v>
      </x:c>
      <x:c r="S27" s="16" t="n">
        <x:f>E27-F27</x:f>
        <x:v>0</x:v>
      </x:c>
      <x:c r="T27" s="16" t="n">
        <x:f>L27+M27</x:f>
        <x:v>0</x:v>
      </x:c>
      <x:c r="U27" t="n">
        <x:f>IFERROR((L27+M27)/MAX(1,(S27+G27)/MAX(1,D27)),0)</x:f>
        <x:v>0</x:v>
      </x:c>
    </x:row>
    <x:row r="28">
      <x:c r="A28" s="26" t="n">
        <x:v>46235</x:v>
      </x:c>
      <x:c r="B28" t="str">
        <x:f>IF(EOMONTH($A28,0)&lt;=Resumen!$B$4,"REAL","PROYECTADO")</x:f>
        <x:v>REAL</x:v>
      </x:c>
      <x:c r="C28" t="str">
        <x:v>TuClick</x:v>
      </x:c>
      <x:c r="D28" s="15" t="n">
        <x:f>IF($B28="REAL",SUMIFS(Carga_Reales!$C:$C,Carga_Reales!$A:$A,$A28,Carga_Reales!$B:$B,$C28),SUMIFS(Proyecciones!$C:$C,Proyecciones!$A:$A,$A28,Proyecciones!$B:$B,$C28))*IF($B28="REAL",1,IF(Resumen!$B$5="Conservador",Supuestos!$B$5,IF(Resumen!$B$5="Optimista",Supuestos!$B$7,Supuestos!$B$6)))</x:f>
        <x:v>0</x:v>
      </x:c>
      <x:c r="E28" s="16" t="n">
        <x:f>IF($B28="REAL",SUMIFS(Carga_Reales!$D:$D,Carga_Reales!$A:$A,$A28,Carga_Reales!$B:$B,$C28),SUMIFS(Proyecciones!$D:$D,Proyecciones!$A:$A,$A28,Proyecciones!$B:$B,$C28))*IF($B28="REAL",1,IF(Resumen!$B$5="Conservador",Supuestos!$B$5,IF(Resumen!$B$5="Optimista",Supuestos!$B$7,Supuestos!$B$6))*IF(Resumen!$B$5="Conservador",Supuestos!$C$5,IF(Resumen!$B$5="Optimista",Supuestos!$C$7,Supuestos!$C$6)))</x:f>
        <x:v>0</x:v>
      </x:c>
      <x:c r="F28" s="16" t="n">
        <x:f>IF($B28="REAL",SUMIFS(Carga_Reales!$E:$E,Carga_Reales!$A:$A,$A28,Carga_Reales!$B:$B,$C28),SUMIFS(Proyecciones!$E:$E,Proyecciones!$A:$A,$A28,Proyecciones!$B:$B,$C28))*IF($B28="REAL",1,IF(Resumen!$B$5="Conservador",Supuestos!$B$5,IF(Resumen!$B$5="Optimista",Supuestos!$B$7,Supuestos!$B$6))*IF(Resumen!$B$5="Conservador",Supuestos!$D$5,IF(Resumen!$B$5="Optimista",Supuestos!$D$7,Supuestos!$D$6)))</x:f>
        <x:v>0</x:v>
      </x:c>
      <x:c r="G28" s="16" t="n">
        <x:f>IF($B28="REAL",SUMIFS(Carga_Reales!$F:$F,Carga_Reales!$A:$A,$A28,Carga_Reales!$B:$B,$C28),SUMIFS(Proyecciones!$F:$F,Proyecciones!$A:$A,$A28,Proyecciones!$B:$B,$C28))*IF($B28="REAL",1,IF(Resumen!$B$5="Conservador",Supuestos!$B$5,IF(Resumen!$B$5="Optimista",Supuestos!$B$7,Supuestos!$B$6)))</x:f>
        <x:v>0</x:v>
      </x:c>
      <x:c r="H28" s="16" t="n">
        <x:f>IF($B28="REAL",SUMIFS(Carga_Reales!$G:$G,Carga_Reales!$A:$A,$A28,Carga_Reales!$B:$B,$C28),SUMIFS(Proyecciones!$G:$G,Proyecciones!$A:$A,$A28,Proyecciones!$B:$B,$C28))*IF($B28="REAL",1,IF(Resumen!$B$5="Conservador",Supuestos!$B$5,IF(Resumen!$B$5="Optimista",Supuestos!$B$7,Supuestos!$B$6)))</x:f>
        <x:v>0</x:v>
      </x:c>
      <x:c r="I28" s="16" t="n">
        <x:f>IF($B28="REAL",SUMIFS(Carga_Reales!$H:$H,Carga_Reales!$A:$A,$A28,Carga_Reales!$B:$B,$C28),SUMIFS(Proyecciones!$H:$H,Proyecciones!$A:$A,$A28,Proyecciones!$B:$B,$C28))*IF($B28="REAL",1,IF(Resumen!$B$5="Conservador",Supuestos!$B$5,IF(Resumen!$B$5="Optimista",Supuestos!$B$7,Supuestos!$B$6)))</x:f>
        <x:v>0</x:v>
      </x:c>
      <x:c r="J28" s="16" t="n">
        <x:f>IF($B28="REAL",SUMIFS(Carga_Reales!$I:$I,Carga_Reales!$A:$A,$A28,Carga_Reales!$B:$B,$C28),SUMIFS(Proyecciones!$I:$I,Proyecciones!$A:$A,$A28,Proyecciones!$B:$B,$C28))*IF($B28="REAL",1,IF(Resumen!$B$5="Conservador",Supuestos!$B$5,IF(Resumen!$B$5="Optimista",Supuestos!$B$7,Supuestos!$B$6)))</x:f>
        <x:v>0</x:v>
      </x:c>
      <x:c r="K28" s="16" t="n">
        <x:f>IF($B28="REAL",SUMIFS(Carga_Reales!$J:$J,Carga_Reales!$A:$A,$A28,Carga_Reales!$B:$B,$C28),SUMIFS(Proyecciones!$J:$J,Proyecciones!$A:$A,$A28,Proyecciones!$B:$B,$C28))*IF($B28="REAL",1,IF(Resumen!$B$5="Conservador",Supuestos!$B$5,IF(Resumen!$B$5="Optimista",Supuestos!$B$7,Supuestos!$B$6)))</x:f>
        <x:v>0</x:v>
      </x:c>
      <x:c r="L28" s="16" t="n">
        <x:f>IF($B28="REAL",SUMIFS(Carga_Reales!$K:$K,Carga_Reales!$A:$A,$A28,Carga_Reales!$B:$B,$C28),SUMIFS(Proyecciones!$K:$K,Proyecciones!$A:$A,$A28,Proyecciones!$B:$B,$C28))*IF($B28="REAL",1,IF(Resumen!$B$5="Conservador",Supuestos!$E$5,IF(Resumen!$B$5="Optimista",Supuestos!$E$7,Supuestos!$E$6)))</x:f>
        <x:v>0</x:v>
      </x:c>
      <x:c r="M28" s="16" t="n">
        <x:f>IF($B28="REAL",SUMIFS(Carga_Reales!$L:$L,Carga_Reales!$A:$A,$A28,Carga_Reales!$B:$B,$C28),SUMIFS(Proyecciones!$L:$L,Proyecciones!$A:$A,$A28,Proyecciones!$B:$B,$C28))*IF($B28="REAL",1,IF(Resumen!$B$5="Conservador",Supuestos!$E$5,IF(Resumen!$B$5="Optimista",Supuestos!$E$7,Supuestos!$E$6)))</x:f>
        <x:v>0</x:v>
      </x:c>
      <x:c r="N28" s="16" t="n">
        <x:f>E28+G28+H28+I28+J28+K28</x:f>
        <x:v>0</x:v>
      </x:c>
      <x:c r="O28" s="16" t="n">
        <x:f>E28-F28+G28+H28+I28+J28+K28-L28-M28</x:f>
        <x:v>0</x:v>
      </x:c>
      <x:c r="P28" s="16" t="n">
        <x:f>O28-IF($B28="REAL",SUMIFS(Carga_Reales!$M:$M,Carga_Reales!$A:$A,$A28,Carga_Reales!$B:$B,$C28),SUMIFS(Proyecciones!$M:$M,Proyecciones!$A:$A,$A28,Proyecciones!$B:$B,$C28))-IF($B28="REAL",SUMIFS(Carga_Reales!$N:$N,Carga_Reales!$A:$A,$A28,Carga_Reales!$B:$B,$C28),SUMIFS(Proyecciones!$N:$N,Proyecciones!$A:$A,$A28,Proyecciones!$B:$B,$C28))</x:f>
        <x:v>0</x:v>
      </x:c>
      <x:c r="Q28" s="16" t="n">
        <x:f>IF($B28="REAL",SUMIFS(Carga_Reales!$O:$O,Carga_Reales!$A:$A,$A28,Carga_Reales!$B:$B,$C28),SUMIFS(Proyecciones!$O:$O,Proyecciones!$A:$A,$A28,Proyecciones!$B:$B,$C28))</x:f>
        <x:v>0</x:v>
      </x:c>
      <x:c r="R28" s="16" t="n">
        <x:f>O28-Q28</x:f>
        <x:v>0</x:v>
      </x:c>
      <x:c r="S28" s="16" t="n">
        <x:f>E28-F28</x:f>
        <x:v>0</x:v>
      </x:c>
      <x:c r="T28" s="16" t="n">
        <x:f>L28+M28</x:f>
        <x:v>0</x:v>
      </x:c>
      <x:c r="U28" t="n">
        <x:f>IFERROR((L28+M28)/MAX(1,(S28+G28)/MAX(1,D28)),0)</x:f>
        <x:v>0</x:v>
      </x:c>
    </x:row>
    <x:row r="29">
      <x:c r="A29" s="26" t="n">
        <x:v>46266</x:v>
      </x:c>
      <x:c r="B29" t="str">
        <x:f>IF(EOMONTH($A29,0)&lt;=Resumen!$B$4,"REAL","PROYECTADO")</x:f>
        <x:v>PROYECTADO</x:v>
      </x:c>
      <x:c r="C29" t="str">
        <x:v>Moto para Todos</x:v>
      </x:c>
      <x:c r="D29" s="15" t="n">
        <x:f>IF($B29="REAL",SUMIFS(Carga_Reales!$C:$C,Carga_Reales!$A:$A,$A29,Carga_Reales!$B:$B,$C29),SUMIFS(Proyecciones!$C:$C,Proyecciones!$A:$A,$A29,Proyecciones!$B:$B,$C29))*IF($B29="REAL",1,IF(Resumen!$B$5="Conservador",Supuestos!$B$5,IF(Resumen!$B$5="Optimista",Supuestos!$B$7,Supuestos!$B$6)))</x:f>
        <x:v>155.39</x:v>
      </x:c>
      <x:c r="E29" s="16" t="n">
        <x:f>IF($B29="REAL",SUMIFS(Carga_Reales!$D:$D,Carga_Reales!$A:$A,$A29,Carga_Reales!$B:$B,$C29),SUMIFS(Proyecciones!$D:$D,Proyecciones!$A:$A,$A29,Proyecciones!$B:$B,$C29))*IF($B29="REAL",1,IF(Resumen!$B$5="Conservador",Supuestos!$B$5,IF(Resumen!$B$5="Optimista",Supuestos!$B$7,Supuestos!$B$6))*IF(Resumen!$B$5="Conservador",Supuestos!$C$5,IF(Resumen!$B$5="Optimista",Supuestos!$C$7,Supuestos!$C$6)))</x:f>
        <x:v>886028807.52</x:v>
      </x:c>
      <x:c r="F29" s="16" t="n">
        <x:f>IF($B29="REAL",SUMIFS(Carga_Reales!$E:$E,Carga_Reales!$A:$A,$A29,Carga_Reales!$B:$B,$C29),SUMIFS(Proyecciones!$E:$E,Proyecciones!$A:$A,$A29,Proyecciones!$B:$B,$C29))*IF($B29="REAL",1,IF(Resumen!$B$5="Conservador",Supuestos!$B$5,IF(Resumen!$B$5="Optimista",Supuestos!$B$7,Supuestos!$B$6))*IF(Resumen!$B$5="Conservador",Supuestos!$D$5,IF(Resumen!$B$5="Optimista",Supuestos!$D$7,Supuestos!$D$6)))</x:f>
        <x:v>730176340.277232</x:v>
      </x:c>
      <x:c r="G29" s="16" t="n">
        <x:f>IF($B29="REAL",SUMIFS(Carga_Reales!$F:$F,Carga_Reales!$A:$A,$A29,Carga_Reales!$B:$B,$C29),SUMIFS(Proyecciones!$F:$F,Proyecciones!$A:$A,$A29,Proyecciones!$B:$B,$C29))*IF($B29="REAL",1,IF(Resumen!$B$5="Conservador",Supuestos!$B$5,IF(Resumen!$B$5="Optimista",Supuestos!$B$7,Supuestos!$B$6)))</x:f>
        <x:v>26416300</x:v>
      </x:c>
      <x:c r="H29" s="16" t="n">
        <x:f>IF($B29="REAL",SUMIFS(Carga_Reales!$G:$G,Carga_Reales!$A:$A,$A29,Carga_Reales!$B:$B,$C29),SUMIFS(Proyecciones!$G:$G,Proyecciones!$A:$A,$A29,Proyecciones!$B:$B,$C29))*IF($B29="REAL",1,IF(Resumen!$B$5="Conservador",Supuestos!$B$5,IF(Resumen!$B$5="Optimista",Supuestos!$B$7,Supuestos!$B$6)))</x:f>
        <x:v>0</x:v>
      </x:c>
      <x:c r="I29" s="16" t="n">
        <x:f>IF($B29="REAL",SUMIFS(Carga_Reales!$H:$H,Carga_Reales!$A:$A,$A29,Carga_Reales!$B:$B,$C29),SUMIFS(Proyecciones!$H:$H,Proyecciones!$A:$A,$A29,Proyecciones!$B:$B,$C29))*IF($B29="REAL",1,IF(Resumen!$B$5="Conservador",Supuestos!$B$5,IF(Resumen!$B$5="Optimista",Supuestos!$B$7,Supuestos!$B$6)))</x:f>
        <x:v>0</x:v>
      </x:c>
      <x:c r="J29" s="16" t="n">
        <x:f>IF($B29="REAL",SUMIFS(Carga_Reales!$I:$I,Carga_Reales!$A:$A,$A29,Carga_Reales!$B:$B,$C29),SUMIFS(Proyecciones!$I:$I,Proyecciones!$A:$A,$A29,Proyecciones!$B:$B,$C29))*IF($B29="REAL",1,IF(Resumen!$B$5="Conservador",Supuestos!$B$5,IF(Resumen!$B$5="Optimista",Supuestos!$B$7,Supuestos!$B$6)))</x:f>
        <x:v>0</x:v>
      </x:c>
      <x:c r="K29" s="16" t="n">
        <x:f>IF($B29="REAL",SUMIFS(Carga_Reales!$J:$J,Carga_Reales!$A:$A,$A29,Carga_Reales!$B:$B,$C29),SUMIFS(Proyecciones!$J:$J,Proyecciones!$A:$A,$A29,Proyecciones!$B:$B,$C29))*IF($B29="REAL",1,IF(Resumen!$B$5="Conservador",Supuestos!$B$5,IF(Resumen!$B$5="Optimista",Supuestos!$B$7,Supuestos!$B$6)))</x:f>
        <x:v>7044498.66624722</x:v>
      </x:c>
      <x:c r="L29" s="16" t="n">
        <x:f>IF($B29="REAL",SUMIFS(Carga_Reales!$K:$K,Carga_Reales!$A:$A,$A29,Carga_Reales!$B:$B,$C29),SUMIFS(Proyecciones!$K:$K,Proyecciones!$A:$A,$A29,Proyecciones!$B:$B,$C29))*IF($B29="REAL",1,IF(Resumen!$B$5="Conservador",Supuestos!$E$5,IF(Resumen!$B$5="Optimista",Supuestos!$E$7,Supuestos!$E$6)))</x:f>
        <x:v>90774371.830064</x:v>
      </x:c>
      <x:c r="M29" s="16" t="n">
        <x:f>IF($B29="REAL",SUMIFS(Carga_Reales!$L:$L,Carga_Reales!$A:$A,$A29,Carga_Reales!$B:$B,$C29),SUMIFS(Proyecciones!$L:$L,Proyecciones!$A:$A,$A29,Proyecciones!$B:$B,$C29))*IF($B29="REAL",1,IF(Resumen!$B$5="Conservador",Supuestos!$E$5,IF(Resumen!$B$5="Optimista",Supuestos!$E$7,Supuestos!$E$6)))</x:f>
        <x:v>48400000</x:v>
      </x:c>
      <x:c r="N29" s="16" t="n">
        <x:f>E29+G29+H29+I29+J29+K29</x:f>
        <x:v>919489606.1862472</x:v>
      </x:c>
      <x:c r="O29" s="16" t="n">
        <x:f>E29-F29+G29+H29+I29+J29+K29-L29-M29</x:f>
        <x:v>50138894.07895115</x:v>
      </x:c>
      <x:c r="P29" s="16" t="n">
        <x:f>O29-IF($B29="REAL",SUMIFS(Carga_Reales!$M:$M,Carga_Reales!$A:$A,$A29,Carga_Reales!$B:$B,$C29),SUMIFS(Proyecciones!$M:$M,Proyecciones!$A:$A,$A29,Proyecciones!$B:$B,$C29))-IF($B29="REAL",SUMIFS(Carga_Reales!$N:$N,Carga_Reales!$A:$A,$A29,Carga_Reales!$B:$B,$C29),SUMIFS(Proyecciones!$N:$N,Proyecciones!$A:$A,$A29,Proyecciones!$B:$B,$C29))</x:f>
        <x:v>29990281.151318252</x:v>
      </x:c>
      <x:c r="Q29" s="16" t="n">
        <x:f>IF($B29="REAL",SUMIFS(Carga_Reales!$O:$O,Carga_Reales!$A:$A,$A29,Carga_Reales!$B:$B,$C29),SUMIFS(Proyecciones!$O:$O,Proyecciones!$A:$A,$A29,Proyecciones!$B:$B,$C29))</x:f>
        <x:v>0</x:v>
      </x:c>
      <x:c r="R29" s="16" t="n">
        <x:f>O29-Q29</x:f>
        <x:v>50138894.07895115</x:v>
      </x:c>
      <x:c r="S29" s="16" t="n">
        <x:f>E29-F29</x:f>
        <x:v>155852467.24276793</x:v>
      </x:c>
      <x:c r="T29" s="16" t="n">
        <x:f>L29+M29</x:f>
        <x:v>139174371.830064</x:v>
      </x:c>
      <x:c r="U29" t="n">
        <x:f>IFERROR((L29+M29)/MAX(1,(S29+G29)/MAX(1,D29)),0)</x:f>
        <x:v>118.6506386465492</x:v>
      </x:c>
    </x:row>
    <x:row r="30">
      <x:c r="A30" s="26" t="n">
        <x:v>46266</x:v>
      </x:c>
      <x:c r="B30" t="str">
        <x:f>IF(EOMONTH($A30,0)&lt;=Resumen!$B$4,"REAL","PROYECTADO")</x:f>
        <x:v>PROYECTADO</x:v>
      </x:c>
      <x:c r="C30" t="str">
        <x:v>Verificarte</x:v>
      </x:c>
      <x:c r="D30" s="15" t="n">
        <x:f>IF($B30="REAL",SUMIFS(Carga_Reales!$C:$C,Carga_Reales!$A:$A,$A30,Carga_Reales!$B:$B,$C30),SUMIFS(Proyecciones!$C:$C,Proyecciones!$A:$A,$A30,Proyecciones!$B:$B,$C30))*IF($B30="REAL",1,IF(Resumen!$B$5="Conservador",Supuestos!$B$5,IF(Resumen!$B$5="Optimista",Supuestos!$B$7,Supuestos!$B$6)))</x:f>
        <x:v>161.833</x:v>
      </x:c>
      <x:c r="E30" s="16" t="n">
        <x:f>IF($B30="REAL",SUMIFS(Carga_Reales!$D:$D,Carga_Reales!$A:$A,$A30,Carga_Reales!$B:$B,$C30),SUMIFS(Proyecciones!$D:$D,Proyecciones!$A:$A,$A30,Proyecciones!$B:$B,$C30))*IF($B30="REAL",1,IF(Resumen!$B$5="Conservador",Supuestos!$B$5,IF(Resumen!$B$5="Optimista",Supuestos!$B$7,Supuestos!$B$6))*IF(Resumen!$B$5="Conservador",Supuestos!$C$5,IF(Resumen!$B$5="Optimista",Supuestos!$C$7,Supuestos!$C$6)))</x:f>
        <x:v>1509507502.979</x:v>
      </x:c>
      <x:c r="F30" s="16" t="n">
        <x:f>IF($B30="REAL",SUMIFS(Carga_Reales!$E:$E,Carga_Reales!$A:$A,$A30,Carga_Reales!$B:$B,$C30),SUMIFS(Proyecciones!$E:$E,Proyecciones!$A:$A,$A30,Proyecciones!$B:$B,$C30))*IF($B30="REAL",1,IF(Resumen!$B$5="Conservador",Supuestos!$B$5,IF(Resumen!$B$5="Optimista",Supuestos!$B$7,Supuestos!$B$6))*IF(Resumen!$B$5="Conservador",Supuestos!$D$5,IF(Resumen!$B$5="Optimista",Supuestos!$D$7,Supuestos!$D$6)))</x:f>
        <x:v>1260438764.98747</x:v>
      </x:c>
      <x:c r="G30" s="16" t="n">
        <x:f>IF($B30="REAL",SUMIFS(Carga_Reales!$F:$F,Carga_Reales!$A:$A,$A30,Carga_Reales!$B:$B,$C30),SUMIFS(Proyecciones!$F:$F,Proyecciones!$A:$A,$A30,Proyecciones!$B:$B,$C30))*IF($B30="REAL",1,IF(Resumen!$B$5="Conservador",Supuestos!$B$5,IF(Resumen!$B$5="Optimista",Supuestos!$B$7,Supuestos!$B$6)))</x:f>
        <x:v>20358591.4</x:v>
      </x:c>
      <x:c r="H30" s="16" t="n">
        <x:f>IF($B30="REAL",SUMIFS(Carga_Reales!$G:$G,Carga_Reales!$A:$A,$A30,Carga_Reales!$B:$B,$C30),SUMIFS(Proyecciones!$G:$G,Proyecciones!$A:$A,$A30,Proyecciones!$B:$B,$C30))*IF($B30="REAL",1,IF(Resumen!$B$5="Conservador",Supuestos!$B$5,IF(Resumen!$B$5="Optimista",Supuestos!$B$7,Supuestos!$B$6)))</x:f>
        <x:v>0</x:v>
      </x:c>
      <x:c r="I30" s="16" t="n">
        <x:f>IF($B30="REAL",SUMIFS(Carga_Reales!$H:$H,Carga_Reales!$A:$A,$A30,Carga_Reales!$B:$B,$C30),SUMIFS(Proyecciones!$H:$H,Proyecciones!$A:$A,$A30,Proyecciones!$B:$B,$C30))*IF($B30="REAL",1,IF(Resumen!$B$5="Conservador",Supuestos!$B$5,IF(Resumen!$B$5="Optimista",Supuestos!$B$7,Supuestos!$B$6)))</x:f>
        <x:v>0</x:v>
      </x:c>
      <x:c r="J30" s="16" t="n">
        <x:f>IF($B30="REAL",SUMIFS(Carga_Reales!$I:$I,Carga_Reales!$A:$A,$A30,Carga_Reales!$B:$B,$C30),SUMIFS(Proyecciones!$I:$I,Proyecciones!$A:$A,$A30,Proyecciones!$B:$B,$C30))*IF($B30="REAL",1,IF(Resumen!$B$5="Conservador",Supuestos!$B$5,IF(Resumen!$B$5="Optimista",Supuestos!$B$7,Supuestos!$B$6)))</x:f>
        <x:v>0</x:v>
      </x:c>
      <x:c r="K30" s="16" t="n">
        <x:f>IF($B30="REAL",SUMIFS(Carga_Reales!$J:$J,Carga_Reales!$A:$A,$A30,Carga_Reales!$B:$B,$C30),SUMIFS(Proyecciones!$J:$J,Proyecciones!$A:$A,$A30,Proyecciones!$B:$B,$C30))*IF($B30="REAL",1,IF(Resumen!$B$5="Conservador",Supuestos!$B$5,IF(Resumen!$B$5="Optimista",Supuestos!$B$7,Supuestos!$B$6)))</x:f>
        <x:v>0</x:v>
      </x:c>
      <x:c r="L30" s="16" t="n">
        <x:f>IF($B30="REAL",SUMIFS(Carga_Reales!$K:$K,Carga_Reales!$A:$A,$A30,Carga_Reales!$B:$B,$C30),SUMIFS(Proyecciones!$K:$K,Proyecciones!$A:$A,$A30,Proyecciones!$B:$B,$C30))*IF($B30="REAL",1,IF(Resumen!$B$5="Conservador",Supuestos!$E$5,IF(Resumen!$B$5="Optimista",Supuestos!$E$7,Supuestos!$E$6)))</x:f>
        <x:v>73089161.6281478</x:v>
      </x:c>
      <x:c r="M30" s="16" t="n">
        <x:f>IF($B30="REAL",SUMIFS(Carga_Reales!$L:$L,Carga_Reales!$A:$A,$A30,Carga_Reales!$B:$B,$C30),SUMIFS(Proyecciones!$L:$L,Proyecciones!$A:$A,$A30,Proyecciones!$B:$B,$C30))*IF($B30="REAL",1,IF(Resumen!$B$5="Conservador",Supuestos!$E$5,IF(Resumen!$B$5="Optimista",Supuestos!$E$7,Supuestos!$E$6)))</x:f>
        <x:v>71000000</x:v>
      </x:c>
      <x:c r="N30" s="16" t="n">
        <x:f>E30+G30+H30+I30+J30+K30</x:f>
        <x:v>1529866094.3790002</x:v>
      </x:c>
      <x:c r="O30" s="16" t="n">
        <x:f>E30-F30+G30+H30+I30+J30+K30-L30-M30</x:f>
        <x:v>125338167.76338238</x:v>
      </x:c>
      <x:c r="P30" s="16" t="n">
        <x:f>O30-IF($B30="REAL",SUMIFS(Carga_Reales!$M:$M,Carga_Reales!$A:$A,$A30,Carga_Reales!$B:$B,$C30),SUMIFS(Proyecciones!$M:$M,Proyecciones!$A:$A,$A30,Proyecciones!$B:$B,$C30))-IF($B30="REAL",SUMIFS(Carga_Reales!$N:$N,Carga_Reales!$A:$A,$A30,Carga_Reales!$B:$B,$C30),SUMIFS(Proyecciones!$N:$N,Proyecciones!$A:$A,$A30,Proyecciones!$B:$B,$C30))</x:f>
        <x:v>78869809.04619677</x:v>
      </x:c>
      <x:c r="Q30" s="16" t="n">
        <x:f>IF($B30="REAL",SUMIFS(Carga_Reales!$O:$O,Carga_Reales!$A:$A,$A30,Carga_Reales!$B:$B,$C30),SUMIFS(Proyecciones!$O:$O,Proyecciones!$A:$A,$A30,Proyecciones!$B:$B,$C30))</x:f>
        <x:v>0</x:v>
      </x:c>
      <x:c r="R30" s="16" t="n">
        <x:f>O30-Q30</x:f>
        <x:v>125338167.76338238</x:v>
      </x:c>
      <x:c r="S30" s="16" t="n">
        <x:f>E30-F30</x:f>
        <x:v>249068737.99153018</x:v>
      </x:c>
      <x:c r="T30" s="16" t="n">
        <x:f>L30+M30</x:f>
        <x:v>144089161.62814778</x:v>
      </x:c>
      <x:c r="U30" t="n">
        <x:f>IFERROR((L30+M30)/MAX(1,(S30+G30)/MAX(1,D30)),0)</x:f>
        <x:v>86.54794354540742</x:v>
      </x:c>
    </x:row>
    <x:row r="31">
      <x:c r="A31" s="26" t="n">
        <x:v>46266</x:v>
      </x:c>
      <x:c r="B31" t="str">
        <x:f>IF(EOMONTH($A31,0)&lt;=Resumen!$B$4,"REAL","PROYECTADO")</x:f>
        <x:v>PROYECTADO</x:v>
      </x:c>
      <x:c r="C31" t="str">
        <x:v>TuClick</x:v>
      </x:c>
      <x:c r="D31" s="15" t="n">
        <x:f>IF($B31="REAL",SUMIFS(Carga_Reales!$C:$C,Carga_Reales!$A:$A,$A31,Carga_Reales!$B:$B,$C31),SUMIFS(Proyecciones!$C:$C,Proyecciones!$A:$A,$A31,Proyecciones!$B:$B,$C31))*IF($B31="REAL",1,IF(Resumen!$B$5="Conservador",Supuestos!$B$5,IF(Resumen!$B$5="Optimista",Supuestos!$B$7,Supuestos!$B$6)))</x:f>
        <x:v>61.777</x:v>
      </x:c>
      <x:c r="E31" s="16" t="n">
        <x:f>IF($B31="REAL",SUMIFS(Carga_Reales!$D:$D,Carga_Reales!$A:$A,$A31,Carga_Reales!$B:$B,$C31),SUMIFS(Proyecciones!$D:$D,Proyecciones!$A:$A,$A31,Proyecciones!$B:$B,$C31))*IF($B31="REAL",1,IF(Resumen!$B$5="Conservador",Supuestos!$B$5,IF(Resumen!$B$5="Optimista",Supuestos!$B$7,Supuestos!$B$6))*IF(Resumen!$B$5="Conservador",Supuestos!$C$5,IF(Resumen!$B$5="Optimista",Supuestos!$C$7,Supuestos!$C$6)))</x:f>
        <x:v>431391694.519</x:v>
      </x:c>
      <x:c r="F31" s="16" t="n">
        <x:f>IF($B31="REAL",SUMIFS(Carga_Reales!$E:$E,Carga_Reales!$A:$A,$A31,Carga_Reales!$B:$B,$C31),SUMIFS(Proyecciones!$E:$E,Proyecciones!$A:$A,$A31,Proyecciones!$B:$B,$C31))*IF($B31="REAL",1,IF(Resumen!$B$5="Conservador",Supuestos!$B$5,IF(Resumen!$B$5="Optimista",Supuestos!$B$7,Supuestos!$B$6))*IF(Resumen!$B$5="Conservador",Supuestos!$D$5,IF(Resumen!$B$5="Optimista",Supuestos!$D$7,Supuestos!$D$6)))</x:f>
        <x:v>368883037.983197</x:v>
      </x:c>
      <x:c r="G31" s="16" t="n">
        <x:f>IF($B31="REAL",SUMIFS(Carga_Reales!$F:$F,Carga_Reales!$A:$A,$A31,Carga_Reales!$B:$B,$C31),SUMIFS(Proyecciones!$F:$F,Proyecciones!$A:$A,$A31,Proyecciones!$B:$B,$C31))*IF($B31="REAL",1,IF(Resumen!$B$5="Conservador",Supuestos!$B$5,IF(Resumen!$B$5="Optimista",Supuestos!$B$7,Supuestos!$B$6)))</x:f>
        <x:v>13785537.55</x:v>
      </x:c>
      <x:c r="H31" s="16" t="n">
        <x:f>IF($B31="REAL",SUMIFS(Carga_Reales!$G:$G,Carga_Reales!$A:$A,$A31,Carga_Reales!$B:$B,$C31),SUMIFS(Proyecciones!$G:$G,Proyecciones!$A:$A,$A31,Proyecciones!$B:$B,$C31))*IF($B31="REAL",1,IF(Resumen!$B$5="Conservador",Supuestos!$B$5,IF(Resumen!$B$5="Optimista",Supuestos!$B$7,Supuestos!$B$6)))</x:f>
        <x:v>0</x:v>
      </x:c>
      <x:c r="I31" s="16" t="n">
        <x:f>IF($B31="REAL",SUMIFS(Carga_Reales!$H:$H,Carga_Reales!$A:$A,$A31,Carga_Reales!$B:$B,$C31),SUMIFS(Proyecciones!$H:$H,Proyecciones!$A:$A,$A31,Proyecciones!$B:$B,$C31))*IF($B31="REAL",1,IF(Resumen!$B$5="Conservador",Supuestos!$B$5,IF(Resumen!$B$5="Optimista",Supuestos!$B$7,Supuestos!$B$6)))</x:f>
        <x:v>0</x:v>
      </x:c>
      <x:c r="J31" s="16" t="n">
        <x:f>IF($B31="REAL",SUMIFS(Carga_Reales!$I:$I,Carga_Reales!$A:$A,$A31,Carga_Reales!$B:$B,$C31),SUMIFS(Proyecciones!$I:$I,Proyecciones!$A:$A,$A31,Proyecciones!$B:$B,$C31))*IF($B31="REAL",1,IF(Resumen!$B$5="Conservador",Supuestos!$B$5,IF(Resumen!$B$5="Optimista",Supuestos!$B$7,Supuestos!$B$6)))</x:f>
        <x:v>0</x:v>
      </x:c>
      <x:c r="K31" s="16" t="n">
        <x:f>IF($B31="REAL",SUMIFS(Carga_Reales!$J:$J,Carga_Reales!$A:$A,$A31,Carga_Reales!$B:$B,$C31),SUMIFS(Proyecciones!$J:$J,Proyecciones!$A:$A,$A31,Proyecciones!$B:$B,$C31))*IF($B31="REAL",1,IF(Resumen!$B$5="Conservador",Supuestos!$B$5,IF(Resumen!$B$5="Optimista",Supuestos!$B$7,Supuestos!$B$6)))</x:f>
        <x:v>0</x:v>
      </x:c>
      <x:c r="L31" s="16" t="n">
        <x:f>IF($B31="REAL",SUMIFS(Carga_Reales!$K:$K,Carga_Reales!$A:$A,$A31,Carga_Reales!$B:$B,$C31),SUMIFS(Proyecciones!$K:$K,Proyecciones!$A:$A,$A31,Proyecciones!$B:$B,$C31))*IF($B31="REAL",1,IF(Resumen!$B$5="Conservador",Supuestos!$E$5,IF(Resumen!$B$5="Optimista",Supuestos!$E$7,Supuestos!$E$6)))</x:f>
        <x:v>31865823.5635883</x:v>
      </x:c>
      <x:c r="M31" s="16" t="n">
        <x:f>IF($B31="REAL",SUMIFS(Carga_Reales!$L:$L,Carga_Reales!$A:$A,$A31,Carga_Reales!$B:$B,$C31),SUMIFS(Proyecciones!$L:$L,Proyecciones!$A:$A,$A31,Proyecciones!$B:$B,$C31))*IF($B31="REAL",1,IF(Resumen!$B$5="Conservador",Supuestos!$E$5,IF(Resumen!$B$5="Optimista",Supuestos!$E$7,Supuestos!$E$6)))</x:f>
        <x:v>40000000</x:v>
      </x:c>
      <x:c r="N31" s="16" t="n">
        <x:f>E31+G31+H31+I31+J31+K31</x:f>
        <x:v>445177232.069</x:v>
      </x:c>
      <x:c r="O31" s="16" t="n">
        <x:f>E31-F31+G31+H31+I31+J31+K31-L31-M31</x:f>
        <x:v>4428370.522214718</x:v>
      </x:c>
      <x:c r="P31" s="16" t="n">
        <x:f>O31-IF($B31="REAL",SUMIFS(Carga_Reales!$M:$M,Carga_Reales!$A:$A,$A31,Carga_Reales!$B:$B,$C31),SUMIFS(Proyecciones!$M:$M,Proyecciones!$A:$A,$A31,Proyecciones!$B:$B,$C31))-IF($B31="REAL",SUMIFS(Carga_Reales!$N:$N,Carga_Reales!$A:$A,$A31,Carga_Reales!$B:$B,$C31),SUMIFS(Proyecciones!$N:$N,Proyecciones!$A:$A,$A31,Proyecciones!$B:$B,$C31))</x:f>
        <x:v>1578440.8394395383</x:v>
      </x:c>
      <x:c r="Q31" s="16" t="n">
        <x:f>IF($B31="REAL",SUMIFS(Carga_Reales!$O:$O,Carga_Reales!$A:$A,$A31,Carga_Reales!$B:$B,$C31),SUMIFS(Proyecciones!$O:$O,Proyecciones!$A:$A,$A31,Proyecciones!$B:$B,$C31))</x:f>
        <x:v>0</x:v>
      </x:c>
      <x:c r="R31" s="16" t="n">
        <x:f>O31-Q31</x:f>
        <x:v>4428370.522214718</x:v>
      </x:c>
      <x:c r="S31" s="16" t="n">
        <x:f>E31-F31</x:f>
        <x:v>62508656.53580302</x:v>
      </x:c>
      <x:c r="T31" s="16" t="n">
        <x:f>L31+M31</x:f>
        <x:v>71865823.56358829</x:v>
      </x:c>
      <x:c r="U31" t="n">
        <x:f>IFERROR((L31+M31)/MAX(1,(S31+G31)/MAX(1,D31)),0)</x:f>
        <x:v>58.19125603836655</x:v>
      </x:c>
    </x:row>
    <x:row r="32">
      <x:c r="A32" s="26" t="n">
        <x:v>46296</x:v>
      </x:c>
      <x:c r="B32" t="str">
        <x:f>IF(EOMONTH($A32,0)&lt;=Resumen!$B$4,"REAL","PROYECTADO")</x:f>
        <x:v>PROYECTADO</x:v>
      </x:c>
      <x:c r="C32" t="str">
        <x:v>Moto para Todos</x:v>
      </x:c>
      <x:c r="D32" s="15" t="n">
        <x:f>IF($B32="REAL",SUMIFS(Carga_Reales!$C:$C,Carga_Reales!$A:$A,$A32,Carga_Reales!$B:$B,$C32),SUMIFS(Proyecciones!$C:$C,Proyecciones!$A:$A,$A32,Proyecciones!$B:$B,$C32))*IF($B32="REAL",1,IF(Resumen!$B$5="Conservador",Supuestos!$B$5,IF(Resumen!$B$5="Optimista",Supuestos!$B$7,Supuestos!$B$6)))</x:f>
        <x:v>158.588901098901</x:v>
      </x:c>
      <x:c r="E32" s="16" t="n">
        <x:f>IF($B32="REAL",SUMIFS(Carga_Reales!$D:$D,Carga_Reales!$A:$A,$A32,Carga_Reales!$B:$B,$C32),SUMIFS(Proyecciones!$D:$D,Proyecciones!$A:$A,$A32,Proyecciones!$B:$B,$C32))*IF($B32="REAL",1,IF(Resumen!$B$5="Conservador",Supuestos!$B$5,IF(Resumen!$B$5="Optimista",Supuestos!$B$7,Supuestos!$B$6))*IF(Resumen!$B$5="Conservador",Supuestos!$C$5,IF(Resumen!$B$5="Optimista",Supuestos!$C$7,Supuestos!$C$6)))</x:f>
        <x:v>904268839.221099</x:v>
      </x:c>
      <x:c r="F32" s="16" t="n">
        <x:f>IF($B32="REAL",SUMIFS(Carga_Reales!$E:$E,Carga_Reales!$A:$A,$A32,Carga_Reales!$B:$B,$C32),SUMIFS(Proyecciones!$E:$E,Proyecciones!$A:$A,$A32,Proyecciones!$B:$B,$C32))*IF($B32="REAL",1,IF(Resumen!$B$5="Conservador",Supuestos!$B$5,IF(Resumen!$B$5="Optimista",Supuestos!$B$7,Supuestos!$B$6))*IF(Resumen!$B$5="Conservador",Supuestos!$D$5,IF(Resumen!$B$5="Optimista",Supuestos!$D$7,Supuestos!$D$6)))</x:f>
        <x:v>745207950.402108</x:v>
      </x:c>
      <x:c r="G32" s="16" t="n">
        <x:f>IF($B32="REAL",SUMIFS(Carga_Reales!$F:$F,Carga_Reales!$A:$A,$A32,Carga_Reales!$B:$B,$C32),SUMIFS(Proyecciones!$F:$F,Proyecciones!$A:$A,$A32,Proyecciones!$B:$B,$C32))*IF($B32="REAL",1,IF(Resumen!$B$5="Conservador",Supuestos!$B$5,IF(Resumen!$B$5="Optimista",Supuestos!$B$7,Supuestos!$B$6)))</x:f>
        <x:v>26960113.1868132</x:v>
      </x:c>
      <x:c r="H32" s="16" t="n">
        <x:f>IF($B32="REAL",SUMIFS(Carga_Reales!$G:$G,Carga_Reales!$A:$A,$A32,Carga_Reales!$B:$B,$C32),SUMIFS(Proyecciones!$G:$G,Proyecciones!$A:$A,$A32,Proyecciones!$B:$B,$C32))*IF($B32="REAL",1,IF(Resumen!$B$5="Conservador",Supuestos!$B$5,IF(Resumen!$B$5="Optimista",Supuestos!$B$7,Supuestos!$B$6)))</x:f>
        <x:v>0</x:v>
      </x:c>
      <x:c r="I32" s="16" t="n">
        <x:f>IF($B32="REAL",SUMIFS(Carga_Reales!$H:$H,Carga_Reales!$A:$A,$A32,Carga_Reales!$B:$B,$C32),SUMIFS(Proyecciones!$H:$H,Proyecciones!$A:$A,$A32,Proyecciones!$B:$B,$C32))*IF($B32="REAL",1,IF(Resumen!$B$5="Conservador",Supuestos!$B$5,IF(Resumen!$B$5="Optimista",Supuestos!$B$7,Supuestos!$B$6)))</x:f>
        <x:v>0</x:v>
      </x:c>
      <x:c r="J32" s="16" t="n">
        <x:f>IF($B32="REAL",SUMIFS(Carga_Reales!$I:$I,Carga_Reales!$A:$A,$A32,Carga_Reales!$B:$B,$C32),SUMIFS(Proyecciones!$I:$I,Proyecciones!$A:$A,$A32,Proyecciones!$B:$B,$C32))*IF($B32="REAL",1,IF(Resumen!$B$5="Conservador",Supuestos!$B$5,IF(Resumen!$B$5="Optimista",Supuestos!$B$7,Supuestos!$B$6)))</x:f>
        <x:v>0</x:v>
      </x:c>
      <x:c r="K32" s="16" t="n">
        <x:f>IF($B32="REAL",SUMIFS(Carga_Reales!$J:$J,Carga_Reales!$A:$A,$A32,Carga_Reales!$B:$B,$C32),SUMIFS(Proyecciones!$J:$J,Proyecciones!$A:$A,$A32,Proyecciones!$B:$B,$C32))*IF($B32="REAL",1,IF(Resumen!$B$5="Conservador",Supuestos!$B$5,IF(Resumen!$B$5="Optimista",Supuestos!$B$7,Supuestos!$B$6)))</x:f>
        <x:v>12163863.7126627</x:v>
      </x:c>
      <x:c r="L32" s="16" t="n">
        <x:f>IF($B32="REAL",SUMIFS(Carga_Reales!$K:$K,Carga_Reales!$A:$A,$A32,Carga_Reales!$B:$B,$C32),SUMIFS(Proyecciones!$K:$K,Proyecciones!$A:$A,$A32,Proyecciones!$B:$B,$C32))*IF($B32="REAL",1,IF(Resumen!$B$5="Conservador",Supuestos!$E$5,IF(Resumen!$B$5="Optimista",Supuestos!$E$7,Supuestos!$E$6)))</x:f>
        <x:v>90774371.830064</x:v>
      </x:c>
      <x:c r="M32" s="16" t="n">
        <x:f>IF($B32="REAL",SUMIFS(Carga_Reales!$L:$L,Carga_Reales!$A:$A,$A32,Carga_Reales!$B:$B,$C32),SUMIFS(Proyecciones!$L:$L,Proyecciones!$A:$A,$A32,Proyecciones!$B:$B,$C32))*IF($B32="REAL",1,IF(Resumen!$B$5="Conservador",Supuestos!$E$5,IF(Resumen!$B$5="Optimista",Supuestos!$E$7,Supuestos!$E$6)))</x:f>
        <x:v>48400000</x:v>
      </x:c>
      <x:c r="N32" s="16" t="n">
        <x:f>E32+G32+H32+I32+J32+K32</x:f>
        <x:v>943392816.120575</x:v>
      </x:c>
      <x:c r="O32" s="16" t="n">
        <x:f>E32-F32+G32+H32+I32+J32+K32-L32-M32</x:f>
        <x:v>59010493.88840297</x:v>
      </x:c>
      <x:c r="P32" s="16" t="n">
        <x:f>O32-IF($B32="REAL",SUMIFS(Carga_Reales!$M:$M,Carga_Reales!$A:$A,$A32,Carga_Reales!$B:$B,$C32),SUMIFS(Proyecciones!$M:$M,Proyecciones!$A:$A,$A32,Proyecciones!$B:$B,$C32))-IF($B32="REAL",SUMIFS(Carga_Reales!$N:$N,Carga_Reales!$A:$A,$A32,Carga_Reales!$B:$B,$C32),SUMIFS(Proyecciones!$N:$N,Proyecciones!$A:$A,$A32,Proyecciones!$B:$B,$C32))</x:f>
        <x:v>35756821.02746187</x:v>
      </x:c>
      <x:c r="Q32" s="16" t="n">
        <x:f>IF($B32="REAL",SUMIFS(Carga_Reales!$O:$O,Carga_Reales!$A:$A,$A32,Carga_Reales!$B:$B,$C32),SUMIFS(Proyecciones!$O:$O,Proyecciones!$A:$A,$A32,Proyecciones!$B:$B,$C32))</x:f>
        <x:v>0</x:v>
      </x:c>
      <x:c r="R32" s="16" t="n">
        <x:f>O32-Q32</x:f>
        <x:v>59010493.88840297</x:v>
      </x:c>
      <x:c r="S32" s="16" t="n">
        <x:f>E32-F32</x:f>
        <x:v>159060888.81899107</x:v>
      </x:c>
      <x:c r="T32" s="16" t="n">
        <x:f>L32+M32</x:f>
        <x:v>139174371.830064</x:v>
      </x:c>
      <x:c r="U32" t="n">
        <x:f>IFERROR((L32+M32)/MAX(1,(S32+G32)/MAX(1,D32)),0)</x:f>
        <x:v>118.65063864654924</x:v>
      </x:c>
    </x:row>
    <x:row r="33">
      <x:c r="A33" s="26" t="n">
        <x:v>46296</x:v>
      </x:c>
      <x:c r="B33" t="str">
        <x:f>IF(EOMONTH($A33,0)&lt;=Resumen!$B$4,"REAL","PROYECTADO")</x:f>
        <x:v>PROYECTADO</x:v>
      </x:c>
      <x:c r="C33" t="str">
        <x:v>Verificarte</x:v>
      </x:c>
      <x:c r="D33" s="15" t="n">
        <x:f>IF($B33="REAL",SUMIFS(Carga_Reales!$C:$C,Carga_Reales!$A:$A,$A33,Carga_Reales!$B:$B,$C33),SUMIFS(Proyecciones!$C:$C,Proyecciones!$A:$A,$A33,Proyecciones!$B:$B,$C33))*IF($B33="REAL",1,IF(Resumen!$B$5="Conservador",Supuestos!$B$5,IF(Resumen!$B$5="Optimista",Supuestos!$B$7,Supuestos!$B$6)))</x:f>
        <x:v>165.164538461538</x:v>
      </x:c>
      <x:c r="E33" s="16" t="n">
        <x:f>IF($B33="REAL",SUMIFS(Carga_Reales!$D:$D,Carga_Reales!$A:$A,$A33,Carga_Reales!$B:$B,$C33),SUMIFS(Proyecciones!$D:$D,Proyecciones!$A:$A,$A33,Proyecciones!$B:$B,$C33))*IF($B33="REAL",1,IF(Resumen!$B$5="Conservador",Supuestos!$B$5,IF(Resumen!$B$5="Optimista",Supuestos!$B$7,Supuestos!$B$6))*IF(Resumen!$B$5="Conservador",Supuestos!$C$5,IF(Resumen!$B$5="Optimista",Supuestos!$C$7,Supuestos!$C$6)))</x:f>
        <x:v>1540582637.86592</x:v>
      </x:c>
      <x:c r="F33" s="16" t="n">
        <x:f>IF($B33="REAL",SUMIFS(Carga_Reales!$E:$E,Carga_Reales!$A:$A,$A33,Carga_Reales!$B:$B,$C33),SUMIFS(Proyecciones!$E:$E,Proyecciones!$A:$A,$A33,Proyecciones!$B:$B,$C33))*IF($B33="REAL",1,IF(Resumen!$B$5="Conservador",Supuestos!$B$5,IF(Resumen!$B$5="Optimista",Supuestos!$B$7,Supuestos!$B$6))*IF(Resumen!$B$5="Conservador",Supuestos!$D$5,IF(Resumen!$B$5="Optimista",Supuestos!$D$7,Supuestos!$D$6)))</x:f>
        <x:v>1286386502.61805</x:v>
      </x:c>
      <x:c r="G33" s="16" t="n">
        <x:f>IF($B33="REAL",SUMIFS(Carga_Reales!$F:$F,Carga_Reales!$A:$A,$A33,Carga_Reales!$B:$B,$C33),SUMIFS(Proyecciones!$F:$F,Proyecciones!$A:$A,$A33,Proyecciones!$B:$B,$C33))*IF($B33="REAL",1,IF(Resumen!$B$5="Conservador",Supuestos!$B$5,IF(Resumen!$B$5="Optimista",Supuestos!$B$7,Supuestos!$B$6)))</x:f>
        <x:v>20777698.9384615</x:v>
      </x:c>
      <x:c r="H33" s="16" t="n">
        <x:f>IF($B33="REAL",SUMIFS(Carga_Reales!$G:$G,Carga_Reales!$A:$A,$A33,Carga_Reales!$B:$B,$C33),SUMIFS(Proyecciones!$G:$G,Proyecciones!$A:$A,$A33,Proyecciones!$B:$B,$C33))*IF($B33="REAL",1,IF(Resumen!$B$5="Conservador",Supuestos!$B$5,IF(Resumen!$B$5="Optimista",Supuestos!$B$7,Supuestos!$B$6)))</x:f>
        <x:v>0</x:v>
      </x:c>
      <x:c r="I33" s="16" t="n">
        <x:f>IF($B33="REAL",SUMIFS(Carga_Reales!$H:$H,Carga_Reales!$A:$A,$A33,Carga_Reales!$B:$B,$C33),SUMIFS(Proyecciones!$H:$H,Proyecciones!$A:$A,$A33,Proyecciones!$B:$B,$C33))*IF($B33="REAL",1,IF(Resumen!$B$5="Conservador",Supuestos!$B$5,IF(Resumen!$B$5="Optimista",Supuestos!$B$7,Supuestos!$B$6)))</x:f>
        <x:v>0</x:v>
      </x:c>
      <x:c r="J33" s="16" t="n">
        <x:f>IF($B33="REAL",SUMIFS(Carga_Reales!$I:$I,Carga_Reales!$A:$A,$A33,Carga_Reales!$B:$B,$C33),SUMIFS(Proyecciones!$I:$I,Proyecciones!$A:$A,$A33,Proyecciones!$B:$B,$C33))*IF($B33="REAL",1,IF(Resumen!$B$5="Conservador",Supuestos!$B$5,IF(Resumen!$B$5="Optimista",Supuestos!$B$7,Supuestos!$B$6)))</x:f>
        <x:v>0</x:v>
      </x:c>
      <x:c r="K33" s="16" t="n">
        <x:f>IF($B33="REAL",SUMIFS(Carga_Reales!$J:$J,Carga_Reales!$A:$A,$A33,Carga_Reales!$B:$B,$C33),SUMIFS(Proyecciones!$J:$J,Proyecciones!$A:$A,$A33,Proyecciones!$B:$B,$C33))*IF($B33="REAL",1,IF(Resumen!$B$5="Conservador",Supuestos!$B$5,IF(Resumen!$B$5="Optimista",Supuestos!$B$7,Supuestos!$B$6)))</x:f>
        <x:v>0</x:v>
      </x:c>
      <x:c r="L33" s="16" t="n">
        <x:f>IF($B33="REAL",SUMIFS(Carga_Reales!$K:$K,Carga_Reales!$A:$A,$A33,Carga_Reales!$B:$B,$C33),SUMIFS(Proyecciones!$K:$K,Proyecciones!$A:$A,$A33,Proyecciones!$B:$B,$C33))*IF($B33="REAL",1,IF(Resumen!$B$5="Conservador",Supuestos!$E$5,IF(Resumen!$B$5="Optimista",Supuestos!$E$7,Supuestos!$E$6)))</x:f>
        <x:v>73089161.6281478</x:v>
      </x:c>
      <x:c r="M33" s="16" t="n">
        <x:f>IF($B33="REAL",SUMIFS(Carga_Reales!$L:$L,Carga_Reales!$A:$A,$A33,Carga_Reales!$B:$B,$C33),SUMIFS(Proyecciones!$L:$L,Proyecciones!$A:$A,$A33,Proyecciones!$B:$B,$C33))*IF($B33="REAL",1,IF(Resumen!$B$5="Conservador",Supuestos!$E$5,IF(Resumen!$B$5="Optimista",Supuestos!$E$7,Supuestos!$E$6)))</x:f>
        <x:v>71000000</x:v>
      </x:c>
      <x:c r="N33" s="16" t="n">
        <x:f>E33+G33+H33+I33+J33+K33</x:f>
        <x:v>1561360336.8043816</x:v>
      </x:c>
      <x:c r="O33" s="16" t="n">
        <x:f>E33-F33+G33+H33+I33+J33+K33-L33-M33</x:f>
        <x:v>130884672.55818367</x:v>
      </x:c>
      <x:c r="P33" s="16" t="n">
        <x:f>O33-IF($B33="REAL",SUMIFS(Carga_Reales!$M:$M,Carga_Reales!$A:$A,$A33,Carga_Reales!$B:$B,$C33),SUMIFS(Proyecciones!$M:$M,Proyecciones!$A:$A,$A33,Proyecciones!$B:$B,$C33))-IF($B33="REAL",SUMIFS(Carga_Reales!$N:$N,Carga_Reales!$A:$A,$A33,Carga_Reales!$B:$B,$C33),SUMIFS(Proyecciones!$N:$N,Proyecciones!$A:$A,$A33,Proyecciones!$B:$B,$C33))</x:f>
        <x:v>82475037.16281676</x:v>
      </x:c>
      <x:c r="Q33" s="16" t="n">
        <x:f>IF($B33="REAL",SUMIFS(Carga_Reales!$O:$O,Carga_Reales!$A:$A,$A33,Carga_Reales!$B:$B,$C33),SUMIFS(Proyecciones!$O:$O,Proyecciones!$A:$A,$A33,Proyecciones!$B:$B,$C33))</x:f>
        <x:v>0</x:v>
      </x:c>
      <x:c r="R33" s="16" t="n">
        <x:f>O33-Q33</x:f>
        <x:v>130884672.55818367</x:v>
      </x:c>
      <x:c r="S33" s="16" t="n">
        <x:f>E33-F33</x:f>
        <x:v>254196135.24786997</x:v>
      </x:c>
      <x:c r="T33" s="16" t="n">
        <x:f>L33+M33</x:f>
        <x:v>144089161.62814778</x:v>
      </x:c>
      <x:c r="U33" t="n">
        <x:f>IFERROR((L33+M33)/MAX(1,(S33+G33)/MAX(1,D33)),0)</x:f>
        <x:v>86.54794354540795</x:v>
      </x:c>
    </x:row>
    <x:row r="34">
      <x:c r="A34" s="26" t="n">
        <x:v>46296</x:v>
      </x:c>
      <x:c r="B34" t="str">
        <x:f>IF(EOMONTH($A34,0)&lt;=Resumen!$B$4,"REAL","PROYECTADO")</x:f>
        <x:v>PROYECTADO</x:v>
      </x:c>
      <x:c r="C34" t="str">
        <x:v>TuClick</x:v>
      </x:c>
      <x:c r="D34" s="15" t="n">
        <x:f>IF($B34="REAL",SUMIFS(Carga_Reales!$C:$C,Carga_Reales!$A:$A,$A34,Carga_Reales!$B:$B,$C34),SUMIFS(Proyecciones!$C:$C,Proyecciones!$A:$A,$A34,Proyecciones!$B:$B,$C34))*IF($B34="REAL",1,IF(Resumen!$B$5="Conservador",Supuestos!$B$5,IF(Resumen!$B$5="Optimista",Supuestos!$B$7,Supuestos!$B$6)))</x:f>
        <x:v>63.0487582417582</x:v>
      </x:c>
      <x:c r="E34" s="16" t="n">
        <x:f>IF($B34="REAL",SUMIFS(Carga_Reales!$D:$D,Carga_Reales!$A:$A,$A34,Carga_Reales!$B:$B,$C34),SUMIFS(Proyecciones!$D:$D,Proyecciones!$A:$A,$A34,Proyecciones!$B:$B,$C34))*IF($B34="REAL",1,IF(Resumen!$B$5="Conservador",Supuestos!$B$5,IF(Resumen!$B$5="Optimista",Supuestos!$B$7,Supuestos!$B$6))*IF(Resumen!$B$5="Conservador",Supuestos!$C$5,IF(Resumen!$B$5="Optimista",Supuestos!$C$7,Supuestos!$C$6)))</x:f>
        <x:v>440272442.093835</x:v>
      </x:c>
      <x:c r="F34" s="16" t="n">
        <x:f>IF($B34="REAL",SUMIFS(Carga_Reales!$E:$E,Carga_Reales!$A:$A,$A34,Carga_Reales!$B:$B,$C34),SUMIFS(Proyecciones!$E:$E,Proyecciones!$A:$A,$A34,Proyecciones!$B:$B,$C34))*IF($B34="REAL",1,IF(Resumen!$B$5="Conservador",Supuestos!$B$5,IF(Resumen!$B$5="Optimista",Supuestos!$B$7,Supuestos!$B$6))*IF(Resumen!$B$5="Conservador",Supuestos!$D$5,IF(Resumen!$B$5="Optimista",Supuestos!$D$7,Supuestos!$D$6)))</x:f>
        <x:v>376476965.234438</x:v>
      </x:c>
      <x:c r="G34" s="16" t="n">
        <x:f>IF($B34="REAL",SUMIFS(Carga_Reales!$F:$F,Carga_Reales!$A:$A,$A34,Carga_Reales!$B:$B,$C34),SUMIFS(Proyecciones!$F:$F,Proyecciones!$A:$A,$A34,Proyecciones!$B:$B,$C34))*IF($B34="REAL",1,IF(Resumen!$B$5="Conservador",Supuestos!$B$5,IF(Resumen!$B$5="Optimista",Supuestos!$B$7,Supuestos!$B$6)))</x:f>
        <x:v>14069330.4016483</x:v>
      </x:c>
      <x:c r="H34" s="16" t="n">
        <x:f>IF($B34="REAL",SUMIFS(Carga_Reales!$G:$G,Carga_Reales!$A:$A,$A34,Carga_Reales!$B:$B,$C34),SUMIFS(Proyecciones!$G:$G,Proyecciones!$A:$A,$A34,Proyecciones!$B:$B,$C34))*IF($B34="REAL",1,IF(Resumen!$B$5="Conservador",Supuestos!$B$5,IF(Resumen!$B$5="Optimista",Supuestos!$B$7,Supuestos!$B$6)))</x:f>
        <x:v>0</x:v>
      </x:c>
      <x:c r="I34" s="16" t="n">
        <x:f>IF($B34="REAL",SUMIFS(Carga_Reales!$H:$H,Carga_Reales!$A:$A,$A34,Carga_Reales!$B:$B,$C34),SUMIFS(Proyecciones!$H:$H,Proyecciones!$A:$A,$A34,Proyecciones!$B:$B,$C34))*IF($B34="REAL",1,IF(Resumen!$B$5="Conservador",Supuestos!$B$5,IF(Resumen!$B$5="Optimista",Supuestos!$B$7,Supuestos!$B$6)))</x:f>
        <x:v>0</x:v>
      </x:c>
      <x:c r="J34" s="16" t="n">
        <x:f>IF($B34="REAL",SUMIFS(Carga_Reales!$I:$I,Carga_Reales!$A:$A,$A34,Carga_Reales!$B:$B,$C34),SUMIFS(Proyecciones!$I:$I,Proyecciones!$A:$A,$A34,Proyecciones!$B:$B,$C34))*IF($B34="REAL",1,IF(Resumen!$B$5="Conservador",Supuestos!$B$5,IF(Resumen!$B$5="Optimista",Supuestos!$B$7,Supuestos!$B$6)))</x:f>
        <x:v>0</x:v>
      </x:c>
      <x:c r="K34" s="16" t="n">
        <x:f>IF($B34="REAL",SUMIFS(Carga_Reales!$J:$J,Carga_Reales!$A:$A,$A34,Carga_Reales!$B:$B,$C34),SUMIFS(Proyecciones!$J:$J,Proyecciones!$A:$A,$A34,Proyecciones!$B:$B,$C34))*IF($B34="REAL",1,IF(Resumen!$B$5="Conservador",Supuestos!$B$5,IF(Resumen!$B$5="Optimista",Supuestos!$B$7,Supuestos!$B$6)))</x:f>
        <x:v>0</x:v>
      </x:c>
      <x:c r="L34" s="16" t="n">
        <x:f>IF($B34="REAL",SUMIFS(Carga_Reales!$K:$K,Carga_Reales!$A:$A,$A34,Carga_Reales!$B:$B,$C34),SUMIFS(Proyecciones!$K:$K,Proyecciones!$A:$A,$A34,Proyecciones!$B:$B,$C34))*IF($B34="REAL",1,IF(Resumen!$B$5="Conservador",Supuestos!$E$5,IF(Resumen!$B$5="Optimista",Supuestos!$E$7,Supuestos!$E$6)))</x:f>
        <x:v>31865823.5635883</x:v>
      </x:c>
      <x:c r="M34" s="16" t="n">
        <x:f>IF($B34="REAL",SUMIFS(Carga_Reales!$L:$L,Carga_Reales!$A:$A,$A34,Carga_Reales!$B:$B,$C34),SUMIFS(Proyecciones!$L:$L,Proyecciones!$A:$A,$A34,Proyecciones!$B:$B,$C34))*IF($B34="REAL",1,IF(Resumen!$B$5="Conservador",Supuestos!$E$5,IF(Resumen!$B$5="Optimista",Supuestos!$E$7,Supuestos!$E$6)))</x:f>
        <x:v>40000000</x:v>
      </x:c>
      <x:c r="N34" s="16" t="n">
        <x:f>E34+G34+H34+I34+J34+K34</x:f>
        <x:v>454341772.4954833</x:v>
      </x:c>
      <x:c r="O34" s="16" t="n">
        <x:f>E34-F34+G34+H34+I34+J34+K34-L34-M34</x:f>
        <x:v>5998983.697456993</x:v>
      </x:c>
      <x:c r="P34" s="16" t="n">
        <x:f>O34-IF($B34="REAL",SUMIFS(Carga_Reales!$M:$M,Carga_Reales!$A:$A,$A34,Carga_Reales!$B:$B,$C34),SUMIFS(Proyecciones!$M:$M,Proyecciones!$A:$A,$A34,Proyecciones!$B:$B,$C34))-IF($B34="REAL",SUMIFS(Carga_Reales!$N:$N,Carga_Reales!$A:$A,$A34,Carga_Reales!$B:$B,$C34),SUMIFS(Proyecciones!$N:$N,Proyecciones!$A:$A,$A34,Proyecciones!$B:$B,$C34))</x:f>
        <x:v>2599339.4033471234</x:v>
      </x:c>
      <x:c r="Q34" s="16" t="n">
        <x:f>IF($B34="REAL",SUMIFS(Carga_Reales!$O:$O,Carga_Reales!$A:$A,$A34,Carga_Reales!$B:$B,$C34),SUMIFS(Proyecciones!$O:$O,Proyecciones!$A:$A,$A34,Proyecciones!$B:$B,$C34))</x:f>
        <x:v>0</x:v>
      </x:c>
      <x:c r="R34" s="16" t="n">
        <x:f>O34-Q34</x:f>
        <x:v>5998983.697456993</x:v>
      </x:c>
      <x:c r="S34" s="16" t="n">
        <x:f>E34-F34</x:f>
        <x:v>63795476.859396994</x:v>
      </x:c>
      <x:c r="T34" s="16" t="n">
        <x:f>L34+M34</x:f>
        <x:v>71865823.56358829</x:v>
      </x:c>
      <x:c r="U34" t="n">
        <x:f>IFERROR((L34+M34)/MAX(1,(S34+G34)/MAX(1,D34)),0)</x:f>
        <x:v>58.19125603836628</x:v>
      </x:c>
    </x:row>
    <x:row r="35">
      <x:c r="A35" s="26" t="n">
        <x:v>46327</x:v>
      </x:c>
      <x:c r="B35" t="str">
        <x:f>IF(EOMONTH($A35,0)&lt;=Resumen!$B$4,"REAL","PROYECTADO")</x:f>
        <x:v>PROYECTADO</x:v>
      </x:c>
      <x:c r="C35" t="str">
        <x:v>Moto para Todos</x:v>
      </x:c>
      <x:c r="D35" s="15" t="n">
        <x:f>IF($B35="REAL",SUMIFS(Carga_Reales!$C:$C,Carga_Reales!$A:$A,$A35,Carga_Reales!$B:$B,$C35),SUMIFS(Proyecciones!$C:$C,Proyecciones!$A:$A,$A35,Proyecciones!$B:$B,$C35))*IF($B35="REAL",1,IF(Resumen!$B$5="Conservador",Supuestos!$B$5,IF(Resumen!$B$5="Optimista",Supuestos!$B$7,Supuestos!$B$6)))</x:f>
        <x:v>161.894432234432</x:v>
      </x:c>
      <x:c r="E35" s="16" t="n">
        <x:f>IF($B35="REAL",SUMIFS(Carga_Reales!$D:$D,Carga_Reales!$A:$A,$A35,Carga_Reales!$B:$B,$C35),SUMIFS(Proyecciones!$D:$D,Proyecciones!$A:$A,$A35,Proyecciones!$B:$B,$C35))*IF($B35="REAL",1,IF(Resumen!$B$5="Conservador",Supuestos!$B$5,IF(Resumen!$B$5="Optimista",Supuestos!$B$7,Supuestos!$B$6))*IF(Resumen!$B$5="Conservador",Supuestos!$C$5,IF(Resumen!$B$5="Optimista",Supuestos!$C$7,Supuestos!$C$6)))</x:f>
        <x:v>923116871.978901</x:v>
      </x:c>
      <x:c r="F35" s="16" t="n">
        <x:f>IF($B35="REAL",SUMIFS(Carga_Reales!$E:$E,Carga_Reales!$A:$A,$A35,Carga_Reales!$B:$B,$C35),SUMIFS(Proyecciones!$E:$E,Proyecciones!$A:$A,$A35,Proyecciones!$B:$B,$C35))*IF($B35="REAL",1,IF(Resumen!$B$5="Conservador",Supuestos!$B$5,IF(Resumen!$B$5="Optimista",Supuestos!$B$7,Supuestos!$B$6))*IF(Resumen!$B$5="Conservador",Supuestos!$D$5,IF(Resumen!$B$5="Optimista",Supuestos!$D$7,Supuestos!$D$6)))</x:f>
        <x:v>760740614.197812</x:v>
      </x:c>
      <x:c r="G35" s="16" t="n">
        <x:f>IF($B35="REAL",SUMIFS(Carga_Reales!$F:$F,Carga_Reales!$A:$A,$A35,Carga_Reales!$B:$B,$C35),SUMIFS(Proyecciones!$F:$F,Proyecciones!$A:$A,$A35,Proyecciones!$B:$B,$C35))*IF($B35="REAL",1,IF(Resumen!$B$5="Conservador",Supuestos!$B$5,IF(Resumen!$B$5="Optimista",Supuestos!$B$7,Supuestos!$B$6)))</x:f>
        <x:v>27522053.4798535</x:v>
      </x:c>
      <x:c r="H35" s="16" t="n">
        <x:f>IF($B35="REAL",SUMIFS(Carga_Reales!$G:$G,Carga_Reales!$A:$A,$A35,Carga_Reales!$B:$B,$C35),SUMIFS(Proyecciones!$G:$G,Proyecciones!$A:$A,$A35,Proyecciones!$B:$B,$C35))*IF($B35="REAL",1,IF(Resumen!$B$5="Conservador",Supuestos!$B$5,IF(Resumen!$B$5="Optimista",Supuestos!$B$7,Supuestos!$B$6)))</x:f>
        <x:v>0</x:v>
      </x:c>
      <x:c r="I35" s="16" t="n">
        <x:f>IF($B35="REAL",SUMIFS(Carga_Reales!$H:$H,Carga_Reales!$A:$A,$A35,Carga_Reales!$B:$B,$C35),SUMIFS(Proyecciones!$H:$H,Proyecciones!$A:$A,$A35,Proyecciones!$B:$B,$C35))*IF($B35="REAL",1,IF(Resumen!$B$5="Conservador",Supuestos!$B$5,IF(Resumen!$B$5="Optimista",Supuestos!$B$7,Supuestos!$B$6)))</x:f>
        <x:v>0</x:v>
      </x:c>
      <x:c r="J35" s="16" t="n">
        <x:f>IF($B35="REAL",SUMIFS(Carga_Reales!$I:$I,Carga_Reales!$A:$A,$A35,Carga_Reales!$B:$B,$C35),SUMIFS(Proyecciones!$I:$I,Proyecciones!$A:$A,$A35,Proyecciones!$B:$B,$C35))*IF($B35="REAL",1,IF(Resumen!$B$5="Conservador",Supuestos!$B$5,IF(Resumen!$B$5="Optimista",Supuestos!$B$7,Supuestos!$B$6)))</x:f>
        <x:v>0</x:v>
      </x:c>
      <x:c r="K35" s="16" t="n">
        <x:f>IF($B35="REAL",SUMIFS(Carga_Reales!$J:$J,Carga_Reales!$A:$A,$A35,Carga_Reales!$B:$B,$C35),SUMIFS(Proyecciones!$J:$J,Proyecciones!$A:$A,$A35,Proyecciones!$B:$B,$C35))*IF($B35="REAL",1,IF(Resumen!$B$5="Conservador",Supuestos!$B$5,IF(Resumen!$B$5="Optimista",Supuestos!$B$7,Supuestos!$B$6)))</x:f>
        <x:v>17181797.59643</x:v>
      </x:c>
      <x:c r="L35" s="16" t="n">
        <x:f>IF($B35="REAL",SUMIFS(Carga_Reales!$K:$K,Carga_Reales!$A:$A,$A35,Carga_Reales!$B:$B,$C35),SUMIFS(Proyecciones!$K:$K,Proyecciones!$A:$A,$A35,Proyecciones!$B:$B,$C35))*IF($B35="REAL",1,IF(Resumen!$B$5="Conservador",Supuestos!$E$5,IF(Resumen!$B$5="Optimista",Supuestos!$E$7,Supuestos!$E$6)))</x:f>
        <x:v>90774371.830064</x:v>
      </x:c>
      <x:c r="M35" s="16" t="n">
        <x:f>IF($B35="REAL",SUMIFS(Carga_Reales!$L:$L,Carga_Reales!$A:$A,$A35,Carga_Reales!$B:$B,$C35),SUMIFS(Proyecciones!$L:$L,Proyecciones!$A:$A,$A35,Proyecciones!$B:$B,$C35))*IF($B35="REAL",1,IF(Resumen!$B$5="Conservador",Supuestos!$E$5,IF(Resumen!$B$5="Optimista",Supuestos!$E$7,Supuestos!$E$6)))</x:f>
        <x:v>48400000</x:v>
      </x:c>
      <x:c r="N35" s="16" t="n">
        <x:f>E35+G35+H35+I35+J35+K35</x:f>
        <x:v>967820723.0551845</x:v>
      </x:c>
      <x:c r="O35" s="16" t="n">
        <x:f>E35-F35+G35+H35+I35+J35+K35-L35-M35</x:f>
        <x:v>67905737.02730858</x:v>
      </x:c>
      <x:c r="P35" s="16" t="n">
        <x:f>O35-IF($B35="REAL",SUMIFS(Carga_Reales!$M:$M,Carga_Reales!$A:$A,$A35,Carga_Reales!$B:$B,$C35),SUMIFS(Proyecciones!$M:$M,Proyecciones!$A:$A,$A35,Proyecciones!$B:$B,$C35))-IF($B35="REAL",SUMIFS(Carga_Reales!$N:$N,Carga_Reales!$A:$A,$A35,Carga_Reales!$B:$B,$C35),SUMIFS(Proyecciones!$N:$N,Proyecciones!$A:$A,$A35,Proyecciones!$B:$B,$C35))</x:f>
        <x:v>41538729.06775078</x:v>
      </x:c>
      <x:c r="Q35" s="16" t="n">
        <x:f>IF($B35="REAL",SUMIFS(Carga_Reales!$O:$O,Carga_Reales!$A:$A,$A35,Carga_Reales!$B:$B,$C35),SUMIFS(Proyecciones!$O:$O,Proyecciones!$A:$A,$A35,Proyecciones!$B:$B,$C35))</x:f>
        <x:v>0</x:v>
      </x:c>
      <x:c r="R35" s="16" t="n">
        <x:f>O35-Q35</x:f>
        <x:v>67905737.02730858</x:v>
      </x:c>
      <x:c r="S35" s="16" t="n">
        <x:f>E35-F35</x:f>
        <x:v>162376257.78108907</x:v>
      </x:c>
      <x:c r="T35" s="16" t="n">
        <x:f>L35+M35</x:f>
        <x:v>139174371.830064</x:v>
      </x:c>
      <x:c r="U35" t="n">
        <x:f>IFERROR((L35+M35)/MAX(1,(S35+G35)/MAX(1,D35)),0)</x:f>
        <x:v>118.65063864654876</x:v>
      </x:c>
    </x:row>
    <x:row r="36">
      <x:c r="A36" s="26" t="n">
        <x:v>46327</x:v>
      </x:c>
      <x:c r="B36" t="str">
        <x:f>IF(EOMONTH($A36,0)&lt;=Resumen!$B$4,"REAL","PROYECTADO")</x:f>
        <x:v>PROYECTADO</x:v>
      </x:c>
      <x:c r="C36" t="str">
        <x:v>Verificarte</x:v>
      </x:c>
      <x:c r="D36" s="15" t="n">
        <x:f>IF($B36="REAL",SUMIFS(Carga_Reales!$C:$C,Carga_Reales!$A:$A,$A36,Carga_Reales!$B:$B,$C36),SUMIFS(Proyecciones!$C:$C,Proyecciones!$A:$A,$A36,Proyecciones!$B:$B,$C36))*IF($B36="REAL",1,IF(Resumen!$B$5="Conservador",Supuestos!$B$5,IF(Resumen!$B$5="Optimista",Supuestos!$B$7,Supuestos!$B$6)))</x:f>
        <x:v>168.607128205128</x:v>
      </x:c>
      <x:c r="E36" s="16" t="n">
        <x:f>IF($B36="REAL",SUMIFS(Carga_Reales!$D:$D,Carga_Reales!$A:$A,$A36,Carga_Reales!$B:$B,$C36),SUMIFS(Proyecciones!$D:$D,Proyecciones!$A:$A,$A36,Proyecciones!$B:$B,$C36))*IF($B36="REAL",1,IF(Resumen!$B$5="Conservador",Supuestos!$B$5,IF(Resumen!$B$5="Optimista",Supuestos!$B$7,Supuestos!$B$6))*IF(Resumen!$B$5="Conservador",Supuestos!$C$5,IF(Resumen!$B$5="Optimista",Supuestos!$C$7,Supuestos!$C$6)))</x:f>
        <x:v>1572693610.58241</x:v>
      </x:c>
      <x:c r="F36" s="16" t="n">
        <x:f>IF($B36="REAL",SUMIFS(Carga_Reales!$E:$E,Carga_Reales!$A:$A,$A36,Carga_Reales!$B:$B,$C36),SUMIFS(Proyecciones!$E:$E,Proyecciones!$A:$A,$A36,Proyecciones!$B:$B,$C36))*IF($B36="REAL",1,IF(Resumen!$B$5="Conservador",Supuestos!$B$5,IF(Resumen!$B$5="Optimista",Supuestos!$B$7,Supuestos!$B$6))*IF(Resumen!$B$5="Conservador",Supuestos!$D$5,IF(Resumen!$B$5="Optimista",Supuestos!$D$7,Supuestos!$D$6)))</x:f>
        <x:v>1313199164.83631</x:v>
      </x:c>
      <x:c r="G36" s="16" t="n">
        <x:f>IF($B36="REAL",SUMIFS(Carga_Reales!$F:$F,Carga_Reales!$A:$A,$A36,Carga_Reales!$B:$B,$C36),SUMIFS(Proyecciones!$F:$F,Proyecciones!$A:$A,$A36,Proyecciones!$B:$B,$C36))*IF($B36="REAL",1,IF(Resumen!$B$5="Conservador",Supuestos!$B$5,IF(Resumen!$B$5="Optimista",Supuestos!$B$7,Supuestos!$B$6)))</x:f>
        <x:v>21210776.7282051</x:v>
      </x:c>
      <x:c r="H36" s="16" t="n">
        <x:f>IF($B36="REAL",SUMIFS(Carga_Reales!$G:$G,Carga_Reales!$A:$A,$A36,Carga_Reales!$B:$B,$C36),SUMIFS(Proyecciones!$G:$G,Proyecciones!$A:$A,$A36,Proyecciones!$B:$B,$C36))*IF($B36="REAL",1,IF(Resumen!$B$5="Conservador",Supuestos!$B$5,IF(Resumen!$B$5="Optimista",Supuestos!$B$7,Supuestos!$B$6)))</x:f>
        <x:v>0</x:v>
      </x:c>
      <x:c r="I36" s="16" t="n">
        <x:f>IF($B36="REAL",SUMIFS(Carga_Reales!$H:$H,Carga_Reales!$A:$A,$A36,Carga_Reales!$B:$B,$C36),SUMIFS(Proyecciones!$H:$H,Proyecciones!$A:$A,$A36,Proyecciones!$B:$B,$C36))*IF($B36="REAL",1,IF(Resumen!$B$5="Conservador",Supuestos!$B$5,IF(Resumen!$B$5="Optimista",Supuestos!$B$7,Supuestos!$B$6)))</x:f>
        <x:v>0</x:v>
      </x:c>
      <x:c r="J36" s="16" t="n">
        <x:f>IF($B36="REAL",SUMIFS(Carga_Reales!$I:$I,Carga_Reales!$A:$A,$A36,Carga_Reales!$B:$B,$C36),SUMIFS(Proyecciones!$I:$I,Proyecciones!$A:$A,$A36,Proyecciones!$B:$B,$C36))*IF($B36="REAL",1,IF(Resumen!$B$5="Conservador",Supuestos!$B$5,IF(Resumen!$B$5="Optimista",Supuestos!$B$7,Supuestos!$B$6)))</x:f>
        <x:v>0</x:v>
      </x:c>
      <x:c r="K36" s="16" t="n">
        <x:f>IF($B36="REAL",SUMIFS(Carga_Reales!$J:$J,Carga_Reales!$A:$A,$A36,Carga_Reales!$B:$B,$C36),SUMIFS(Proyecciones!$J:$J,Proyecciones!$A:$A,$A36,Proyecciones!$B:$B,$C36))*IF($B36="REAL",1,IF(Resumen!$B$5="Conservador",Supuestos!$B$5,IF(Resumen!$B$5="Optimista",Supuestos!$B$7,Supuestos!$B$6)))</x:f>
        <x:v>0</x:v>
      </x:c>
      <x:c r="L36" s="16" t="n">
        <x:f>IF($B36="REAL",SUMIFS(Carga_Reales!$K:$K,Carga_Reales!$A:$A,$A36,Carga_Reales!$B:$B,$C36),SUMIFS(Proyecciones!$K:$K,Proyecciones!$A:$A,$A36,Proyecciones!$B:$B,$C36))*IF($B36="REAL",1,IF(Resumen!$B$5="Conservador",Supuestos!$E$5,IF(Resumen!$B$5="Optimista",Supuestos!$E$7,Supuestos!$E$6)))</x:f>
        <x:v>73089161.6281478</x:v>
      </x:c>
      <x:c r="M36" s="16" t="n">
        <x:f>IF($B36="REAL",SUMIFS(Carga_Reales!$L:$L,Carga_Reales!$A:$A,$A36,Carga_Reales!$B:$B,$C36),SUMIFS(Proyecciones!$L:$L,Proyecciones!$A:$A,$A36,Proyecciones!$B:$B,$C36))*IF($B36="REAL",1,IF(Resumen!$B$5="Conservador",Supuestos!$E$5,IF(Resumen!$B$5="Optimista",Supuestos!$E$7,Supuestos!$E$6)))</x:f>
        <x:v>71000000</x:v>
      </x:c>
      <x:c r="N36" s="16" t="n">
        <x:f>E36+G36+H36+I36+J36+K36</x:f>
        <x:v>1593904387.3106153</x:v>
      </x:c>
      <x:c r="O36" s="16" t="n">
        <x:f>E36-F36+G36+H36+I36+J36+K36-L36-M36</x:f>
        <x:v>136616060.8461575</x:v>
      </x:c>
      <x:c r="P36" s="16" t="n">
        <x:f>O36-IF($B36="REAL",SUMIFS(Carga_Reales!$M:$M,Carga_Reales!$A:$A,$A36,Carga_Reales!$B:$B,$C36),SUMIFS(Proyecciones!$M:$M,Proyecciones!$A:$A,$A36,Proyecciones!$B:$B,$C36))-IF($B36="REAL",SUMIFS(Carga_Reales!$N:$N,Carga_Reales!$A:$A,$A36,Carga_Reales!$B:$B,$C36),SUMIFS(Proyecciones!$N:$N,Proyecciones!$A:$A,$A36,Proyecciones!$B:$B,$C36))</x:f>
        <x:v>86200439.5500032</x:v>
      </x:c>
      <x:c r="Q36" s="16" t="n">
        <x:f>IF($B36="REAL",SUMIFS(Carga_Reales!$O:$O,Carga_Reales!$A:$A,$A36,Carga_Reales!$B:$B,$C36),SUMIFS(Proyecciones!$O:$O,Proyecciones!$A:$A,$A36,Proyecciones!$B:$B,$C36))</x:f>
        <x:v>0</x:v>
      </x:c>
      <x:c r="R36" s="16" t="n">
        <x:f>O36-Q36</x:f>
        <x:v>136616060.8461575</x:v>
      </x:c>
      <x:c r="S36" s="16" t="n">
        <x:f>E36-F36</x:f>
        <x:v>259494445.7461002</x:v>
      </x:c>
      <x:c r="T36" s="16" t="n">
        <x:f>L36+M36</x:f>
        <x:v>144089161.62814778</x:v>
      </x:c>
      <x:c r="U36" t="n">
        <x:f>IFERROR((L36+M36)/MAX(1,(S36+G36)/MAX(1,D36)),0)</x:f>
        <x:v>86.547943545405</x:v>
      </x:c>
    </x:row>
    <x:row r="37">
      <x:c r="A37" s="26" t="n">
        <x:v>46327</x:v>
      </x:c>
      <x:c r="B37" t="str">
        <x:f>IF(EOMONTH($A37,0)&lt;=Resumen!$B$4,"REAL","PROYECTADO")</x:f>
        <x:v>PROYECTADO</x:v>
      </x:c>
      <x:c r="C37" t="str">
        <x:v>TuClick</x:v>
      </x:c>
      <x:c r="D37" s="15" t="n">
        <x:f>IF($B37="REAL",SUMIFS(Carga_Reales!$C:$C,Carga_Reales!$A:$A,$A37,Carga_Reales!$B:$B,$C37),SUMIFS(Proyecciones!$C:$C,Proyecciones!$A:$A,$A37,Proyecciones!$B:$B,$C37))*IF($B37="REAL",1,IF(Resumen!$B$5="Conservador",Supuestos!$B$5,IF(Resumen!$B$5="Optimista",Supuestos!$B$7,Supuestos!$B$6)))</x:f>
        <x:v>64.3629084249084</x:v>
      </x:c>
      <x:c r="E37" s="16" t="n">
        <x:f>IF($B37="REAL",SUMIFS(Carga_Reales!$D:$D,Carga_Reales!$A:$A,$A37,Carga_Reales!$B:$B,$C37),SUMIFS(Proyecciones!$D:$D,Proyecciones!$A:$A,$A37,Proyecciones!$B:$B,$C37))*IF($B37="REAL",1,IF(Resumen!$B$5="Conservador",Supuestos!$B$5,IF(Resumen!$B$5="Optimista",Supuestos!$B$7,Supuestos!$B$6))*IF(Resumen!$B$5="Conservador",Supuestos!$C$5,IF(Resumen!$B$5="Optimista",Supuestos!$C$7,Supuestos!$C$6)))</x:f>
        <x:v>449449214.587831</x:v>
      </x:c>
      <x:c r="F37" s="16" t="n">
        <x:f>IF($B37="REAL",SUMIFS(Carga_Reales!$E:$E,Carga_Reales!$A:$A,$A37,Carga_Reales!$B:$B,$C37),SUMIFS(Proyecciones!$E:$E,Proyecciones!$A:$A,$A37,Proyecciones!$B:$B,$C37))*IF($B37="REAL",1,IF(Resumen!$B$5="Conservador",Supuestos!$B$5,IF(Resumen!$B$5="Optimista",Supuestos!$B$7,Supuestos!$B$6))*IF(Resumen!$B$5="Conservador",Supuestos!$D$5,IF(Resumen!$B$5="Optimista",Supuestos!$D$7,Supuestos!$D$6)))</x:f>
        <x:v>384324023.394055</x:v>
      </x:c>
      <x:c r="G37" s="16" t="n">
        <x:f>IF($B37="REAL",SUMIFS(Carga_Reales!$F:$F,Carga_Reales!$A:$A,$A37,Carga_Reales!$B:$B,$C37),SUMIFS(Proyecciones!$F:$F,Proyecciones!$A:$A,$A37,Proyecciones!$B:$B,$C37))*IF($B37="REAL",1,IF(Resumen!$B$5="Conservador",Supuestos!$B$5,IF(Resumen!$B$5="Optimista",Supuestos!$B$7,Supuestos!$B$6)))</x:f>
        <x:v>14362583.0150183</x:v>
      </x:c>
      <x:c r="H37" s="16" t="n">
        <x:f>IF($B37="REAL",SUMIFS(Carga_Reales!$G:$G,Carga_Reales!$A:$A,$A37,Carga_Reales!$B:$B,$C37),SUMIFS(Proyecciones!$G:$G,Proyecciones!$A:$A,$A37,Proyecciones!$B:$B,$C37))*IF($B37="REAL",1,IF(Resumen!$B$5="Conservador",Supuestos!$B$5,IF(Resumen!$B$5="Optimista",Supuestos!$B$7,Supuestos!$B$6)))</x:f>
        <x:v>0</x:v>
      </x:c>
      <x:c r="I37" s="16" t="n">
        <x:f>IF($B37="REAL",SUMIFS(Carga_Reales!$H:$H,Carga_Reales!$A:$A,$A37,Carga_Reales!$B:$B,$C37),SUMIFS(Proyecciones!$H:$H,Proyecciones!$A:$A,$A37,Proyecciones!$B:$B,$C37))*IF($B37="REAL",1,IF(Resumen!$B$5="Conservador",Supuestos!$B$5,IF(Resumen!$B$5="Optimista",Supuestos!$B$7,Supuestos!$B$6)))</x:f>
        <x:v>0</x:v>
      </x:c>
      <x:c r="J37" s="16" t="n">
        <x:f>IF($B37="REAL",SUMIFS(Carga_Reales!$I:$I,Carga_Reales!$A:$A,$A37,Carga_Reales!$B:$B,$C37),SUMIFS(Proyecciones!$I:$I,Proyecciones!$A:$A,$A37,Proyecciones!$B:$B,$C37))*IF($B37="REAL",1,IF(Resumen!$B$5="Conservador",Supuestos!$B$5,IF(Resumen!$B$5="Optimista",Supuestos!$B$7,Supuestos!$B$6)))</x:f>
        <x:v>0</x:v>
      </x:c>
      <x:c r="K37" s="16" t="n">
        <x:f>IF($B37="REAL",SUMIFS(Carga_Reales!$J:$J,Carga_Reales!$A:$A,$A37,Carga_Reales!$B:$B,$C37),SUMIFS(Proyecciones!$J:$J,Proyecciones!$A:$A,$A37,Proyecciones!$B:$B,$C37))*IF($B37="REAL",1,IF(Resumen!$B$5="Conservador",Supuestos!$B$5,IF(Resumen!$B$5="Optimista",Supuestos!$B$7,Supuestos!$B$6)))</x:f>
        <x:v>0</x:v>
      </x:c>
      <x:c r="L37" s="16" t="n">
        <x:f>IF($B37="REAL",SUMIFS(Carga_Reales!$K:$K,Carga_Reales!$A:$A,$A37,Carga_Reales!$B:$B,$C37),SUMIFS(Proyecciones!$K:$K,Proyecciones!$A:$A,$A37,Proyecciones!$B:$B,$C37))*IF($B37="REAL",1,IF(Resumen!$B$5="Conservador",Supuestos!$E$5,IF(Resumen!$B$5="Optimista",Supuestos!$E$7,Supuestos!$E$6)))</x:f>
        <x:v>31865823.5635883</x:v>
      </x:c>
      <x:c r="M37" s="16" t="n">
        <x:f>IF($B37="REAL",SUMIFS(Carga_Reales!$L:$L,Carga_Reales!$A:$A,$A37,Carga_Reales!$B:$B,$C37),SUMIFS(Proyecciones!$L:$L,Proyecciones!$A:$A,$A37,Proyecciones!$B:$B,$C37))*IF($B37="REAL",1,IF(Resumen!$B$5="Conservador",Supuestos!$E$5,IF(Resumen!$B$5="Optimista",Supuestos!$E$7,Supuestos!$E$6)))</x:f>
        <x:v>40000000</x:v>
      </x:c>
      <x:c r="N37" s="16" t="n">
        <x:f>E37+G37+H37+I37+J37+K37</x:f>
        <x:v>463811797.6028493</x:v>
      </x:c>
      <x:c r="O37" s="16" t="n">
        <x:f>E37-F37+G37+H37+I37+J37+K37-L37-M37</x:f>
        <x:v>7621950.645206012</x:v>
      </x:c>
      <x:c r="P37" s="16" t="n">
        <x:f>O37-IF($B37="REAL",SUMIFS(Carga_Reales!$M:$M,Carga_Reales!$A:$A,$A37,Carga_Reales!$B:$B,$C37),SUMIFS(Proyecciones!$M:$M,Proyecciones!$A:$A,$A37,Proyecciones!$B:$B,$C37))-IF($B37="REAL",SUMIFS(Carga_Reales!$N:$N,Carga_Reales!$A:$A,$A37,Carga_Reales!$B:$B,$C37),SUMIFS(Proyecciones!$N:$N,Proyecciones!$A:$A,$A37,Proyecciones!$B:$B,$C37))</x:f>
        <x:v>3654267.919383622</x:v>
      </x:c>
      <x:c r="Q37" s="16" t="n">
        <x:f>IF($B37="REAL",SUMIFS(Carga_Reales!$O:$O,Carga_Reales!$A:$A,$A37,Carga_Reales!$B:$B,$C37),SUMIFS(Proyecciones!$O:$O,Proyecciones!$A:$A,$A37,Proyecciones!$B:$B,$C37))</x:f>
        <x:v>0</x:v>
      </x:c>
      <x:c r="R37" s="16" t="n">
        <x:f>O37-Q37</x:f>
        <x:v>7621950.645206012</x:v>
      </x:c>
      <x:c r="S37" s="16" t="n">
        <x:f>E37-F37</x:f>
        <x:v>65125191.19377601</x:v>
      </x:c>
      <x:c r="T37" s="16" t="n">
        <x:f>L37+M37</x:f>
        <x:v>71865823.56358829</x:v>
      </x:c>
      <x:c r="U37" t="n">
        <x:f>IFERROR((L37+M37)/MAX(1,(S37+G37)/MAX(1,D37)),0)</x:f>
        <x:v>58.19125603836703</x:v>
      </x:c>
    </x:row>
    <x:row r="38">
      <x:c r="A38" s="26" t="n">
        <x:v>46357</x:v>
      </x:c>
      <x:c r="B38" t="str">
        <x:f>IF(EOMONTH($A38,0)&lt;=Resumen!$B$4,"REAL","PROYECTADO")</x:f>
        <x:v>PROYECTADO</x:v>
      </x:c>
      <x:c r="C38" t="str">
        <x:v>Moto para Todos</x:v>
      </x:c>
      <x:c r="D38" s="15" t="n">
        <x:f>IF($B38="REAL",SUMIFS(Carga_Reales!$C:$C,Carga_Reales!$A:$A,$A38,Carga_Reales!$B:$B,$C38),SUMIFS(Proyecciones!$C:$C,Proyecciones!$A:$A,$A38,Proyecciones!$B:$B,$C38))*IF($B38="REAL",1,IF(Resumen!$B$5="Conservador",Supuestos!$B$5,IF(Resumen!$B$5="Optimista",Supuestos!$B$7,Supuestos!$B$6)))</x:f>
        <x:v>165.093333333333</x:v>
      </x:c>
      <x:c r="E38" s="16" t="n">
        <x:f>IF($B38="REAL",SUMIFS(Carga_Reales!$D:$D,Carga_Reales!$A:$A,$A38,Carga_Reales!$B:$B,$C38),SUMIFS(Proyecciones!$D:$D,Proyecciones!$A:$A,$A38,Proyecciones!$B:$B,$C38))*IF($B38="REAL",1,IF(Resumen!$B$5="Conservador",Supuestos!$B$5,IF(Resumen!$B$5="Optimista",Supuestos!$B$7,Supuestos!$B$6))*IF(Resumen!$B$5="Conservador",Supuestos!$C$5,IF(Resumen!$B$5="Optimista",Supuestos!$C$7,Supuestos!$C$6)))</x:f>
        <x:v>941356903.68</x:v>
      </x:c>
      <x:c r="F38" s="16" t="n">
        <x:f>IF($B38="REAL",SUMIFS(Carga_Reales!$E:$E,Carga_Reales!$A:$A,$A38,Carga_Reales!$B:$B,$C38),SUMIFS(Proyecciones!$E:$E,Proyecciones!$A:$A,$A38,Proyecciones!$B:$B,$C38))*IF($B38="REAL",1,IF(Resumen!$B$5="Conservador",Supuestos!$B$5,IF(Resumen!$B$5="Optimista",Supuestos!$B$7,Supuestos!$B$6))*IF(Resumen!$B$5="Conservador",Supuestos!$D$5,IF(Resumen!$B$5="Optimista",Supuestos!$D$7,Supuestos!$D$6)))</x:f>
        <x:v>775772224.322688</x:v>
      </x:c>
      <x:c r="G38" s="16" t="n">
        <x:f>IF($B38="REAL",SUMIFS(Carga_Reales!$F:$F,Carga_Reales!$A:$A,$A38,Carga_Reales!$B:$B,$C38),SUMIFS(Proyecciones!$F:$F,Proyecciones!$A:$A,$A38,Proyecciones!$B:$B,$C38))*IF($B38="REAL",1,IF(Resumen!$B$5="Conservador",Supuestos!$B$5,IF(Resumen!$B$5="Optimista",Supuestos!$B$7,Supuestos!$B$6)))</x:f>
        <x:v>28065866.6666667</x:v>
      </x:c>
      <x:c r="H38" s="16" t="n">
        <x:f>IF($B38="REAL",SUMIFS(Carga_Reales!$G:$G,Carga_Reales!$A:$A,$A38,Carga_Reales!$B:$B,$C38),SUMIFS(Proyecciones!$G:$G,Proyecciones!$A:$A,$A38,Proyecciones!$B:$B,$C38))*IF($B38="REAL",1,IF(Resumen!$B$5="Conservador",Supuestos!$B$5,IF(Resumen!$B$5="Optimista",Supuestos!$B$7,Supuestos!$B$6)))</x:f>
        <x:v>0</x:v>
      </x:c>
      <x:c r="I38" s="16" t="n">
        <x:f>IF($B38="REAL",SUMIFS(Carga_Reales!$H:$H,Carga_Reales!$A:$A,$A38,Carga_Reales!$B:$B,$C38),SUMIFS(Proyecciones!$H:$H,Proyecciones!$A:$A,$A38,Proyecciones!$B:$B,$C38))*IF($B38="REAL",1,IF(Resumen!$B$5="Conservador",Supuestos!$B$5,IF(Resumen!$B$5="Optimista",Supuestos!$B$7,Supuestos!$B$6)))</x:f>
        <x:v>0</x:v>
      </x:c>
      <x:c r="J38" s="16" t="n">
        <x:f>IF($B38="REAL",SUMIFS(Carga_Reales!$I:$I,Carga_Reales!$A:$A,$A38,Carga_Reales!$B:$B,$C38),SUMIFS(Proyecciones!$I:$I,Proyecciones!$A:$A,$A38,Proyecciones!$B:$B,$C38))*IF($B38="REAL",1,IF(Resumen!$B$5="Conservador",Supuestos!$B$5,IF(Resumen!$B$5="Optimista",Supuestos!$B$7,Supuestos!$B$6)))</x:f>
        <x:v>0</x:v>
      </x:c>
      <x:c r="K38" s="16" t="n">
        <x:f>IF($B38="REAL",SUMIFS(Carga_Reales!$J:$J,Carga_Reales!$A:$A,$A38,Carga_Reales!$B:$B,$C38),SUMIFS(Proyecciones!$J:$J,Proyecciones!$A:$A,$A38,Proyecciones!$B:$B,$C38))*IF($B38="REAL",1,IF(Resumen!$B$5="Conservador",Supuestos!$B$5,IF(Resumen!$B$5="Optimista",Supuestos!$B$7,Supuestos!$B$6)))</x:f>
        <x:v>22103892.0006081</x:v>
      </x:c>
      <x:c r="L38" s="16" t="n">
        <x:f>IF($B38="REAL",SUMIFS(Carga_Reales!$K:$K,Carga_Reales!$A:$A,$A38,Carga_Reales!$B:$B,$C38),SUMIFS(Proyecciones!$K:$K,Proyecciones!$A:$A,$A38,Proyecciones!$B:$B,$C38))*IF($B38="REAL",1,IF(Resumen!$B$5="Conservador",Supuestos!$E$5,IF(Resumen!$B$5="Optimista",Supuestos!$E$7,Supuestos!$E$6)))</x:f>
        <x:v>90774371.830064</x:v>
      </x:c>
      <x:c r="M38" s="16" t="n">
        <x:f>IF($B38="REAL",SUMIFS(Carga_Reales!$L:$L,Carga_Reales!$A:$A,$A38,Carga_Reales!$B:$B,$C38),SUMIFS(Proyecciones!$L:$L,Proyecciones!$A:$A,$A38,Proyecciones!$B:$B,$C38))*IF($B38="REAL",1,IF(Resumen!$B$5="Conservador",Supuestos!$E$5,IF(Resumen!$B$5="Optimista",Supuestos!$E$7,Supuestos!$E$6)))</x:f>
        <x:v>48400000</x:v>
      </x:c>
      <x:c r="N38" s="16" t="n">
        <x:f>E38+G38+H38+I38+J38+K38</x:f>
        <x:v>991526662.3472748</x:v>
      </x:c>
      <x:c r="O38" s="16" t="n">
        <x:f>E38-F38+G38+H38+I38+J38+K38-L38-M38</x:f>
        <x:v>76580066.19452274</x:v>
      </x:c>
      <x:c r="P38" s="16" t="n">
        <x:f>O38-IF($B38="REAL",SUMIFS(Carga_Reales!$M:$M,Carga_Reales!$A:$A,$A38,Carga_Reales!$B:$B,$C38),SUMIFS(Proyecciones!$M:$M,Proyecciones!$A:$A,$A38,Proyecciones!$B:$B,$C38))-IF($B38="REAL",SUMIFS(Carga_Reales!$N:$N,Carga_Reales!$A:$A,$A38,Carga_Reales!$B:$B,$C38),SUMIFS(Proyecciones!$N:$N,Proyecciones!$A:$A,$A38,Proyecciones!$B:$B,$C38))</x:f>
        <x:v>47177043.02643984</x:v>
      </x:c>
      <x:c r="Q38" s="16" t="n">
        <x:f>IF($B38="REAL",SUMIFS(Carga_Reales!$O:$O,Carga_Reales!$A:$A,$A38,Carga_Reales!$B:$B,$C38),SUMIFS(Proyecciones!$O:$O,Proyecciones!$A:$A,$A38,Proyecciones!$B:$B,$C38))</x:f>
        <x:v>0</x:v>
      </x:c>
      <x:c r="R38" s="16" t="n">
        <x:f>O38-Q38</x:f>
        <x:v>76580066.19452274</x:v>
      </x:c>
      <x:c r="S38" s="16" t="n">
        <x:f>E38-F38</x:f>
        <x:v>165584679.35731196</x:v>
      </x:c>
      <x:c r="T38" s="16" t="n">
        <x:f>L38+M38</x:f>
        <x:v>139174371.830064</x:v>
      </x:c>
      <x:c r="U38" t="n">
        <x:f>IFERROR((L38+M38)/MAX(1,(S38+G38)/MAX(1,D38)),0)</x:f>
        <x:v>118.65063864654894</x:v>
      </x:c>
    </x:row>
    <x:row r="39">
      <x:c r="A39" s="26" t="n">
        <x:v>46357</x:v>
      </x:c>
      <x:c r="B39" t="str">
        <x:f>IF(EOMONTH($A39,0)&lt;=Resumen!$B$4,"REAL","PROYECTADO")</x:f>
        <x:v>PROYECTADO</x:v>
      </x:c>
      <x:c r="C39" t="str">
        <x:v>Verificarte</x:v>
      </x:c>
      <x:c r="D39" s="15" t="n">
        <x:f>IF($B39="REAL",SUMIFS(Carga_Reales!$C:$C,Carga_Reales!$A:$A,$A39,Carga_Reales!$B:$B,$C39),SUMIFS(Proyecciones!$C:$C,Proyecciones!$A:$A,$A39,Proyecciones!$B:$B,$C39))*IF($B39="REAL",1,IF(Resumen!$B$5="Conservador",Supuestos!$B$5,IF(Resumen!$B$5="Optimista",Supuestos!$B$7,Supuestos!$B$6)))</x:f>
        <x:v>171.938666666667</x:v>
      </x:c>
      <x:c r="E39" s="16" t="n">
        <x:f>IF($B39="REAL",SUMIFS(Carga_Reales!$D:$D,Carga_Reales!$A:$A,$A39,Carga_Reales!$B:$B,$C39),SUMIFS(Proyecciones!$D:$D,Proyecciones!$A:$A,$A39,Proyecciones!$B:$B,$C39))*IF($B39="REAL",1,IF(Resumen!$B$5="Conservador",Supuestos!$B$5,IF(Resumen!$B$5="Optimista",Supuestos!$B$7,Supuestos!$B$6))*IF(Resumen!$B$5="Conservador",Supuestos!$C$5,IF(Resumen!$B$5="Optimista",Supuestos!$C$7,Supuestos!$C$6)))</x:f>
        <x:v>1603768745.46933</x:v>
      </x:c>
      <x:c r="F39" s="16" t="n">
        <x:f>IF($B39="REAL",SUMIFS(Carga_Reales!$E:$E,Carga_Reales!$A:$A,$A39,Carga_Reales!$B:$B,$C39),SUMIFS(Proyecciones!$E:$E,Proyecciones!$A:$A,$A39,Proyecciones!$B:$B,$C39))*IF($B39="REAL",1,IF(Resumen!$B$5="Conservador",Supuestos!$B$5,IF(Resumen!$B$5="Optimista",Supuestos!$B$7,Supuestos!$B$6))*IF(Resumen!$B$5="Conservador",Supuestos!$D$5,IF(Resumen!$B$5="Optimista",Supuestos!$D$7,Supuestos!$D$6)))</x:f>
        <x:v>1339146902.46689</x:v>
      </x:c>
      <x:c r="G39" s="16" t="n">
        <x:f>IF($B39="REAL",SUMIFS(Carga_Reales!$F:$F,Carga_Reales!$A:$A,$A39,Carga_Reales!$B:$B,$C39),SUMIFS(Proyecciones!$F:$F,Proyecciones!$A:$A,$A39,Proyecciones!$B:$B,$C39))*IF($B39="REAL",1,IF(Resumen!$B$5="Conservador",Supuestos!$B$5,IF(Resumen!$B$5="Optimista",Supuestos!$B$7,Supuestos!$B$6)))</x:f>
        <x:v>21629884.2666667</x:v>
      </x:c>
      <x:c r="H39" s="16" t="n">
        <x:f>IF($B39="REAL",SUMIFS(Carga_Reales!$G:$G,Carga_Reales!$A:$A,$A39,Carga_Reales!$B:$B,$C39),SUMIFS(Proyecciones!$G:$G,Proyecciones!$A:$A,$A39,Proyecciones!$B:$B,$C39))*IF($B39="REAL",1,IF(Resumen!$B$5="Conservador",Supuestos!$B$5,IF(Resumen!$B$5="Optimista",Supuestos!$B$7,Supuestos!$B$6)))</x:f>
        <x:v>0</x:v>
      </x:c>
      <x:c r="I39" s="16" t="n">
        <x:f>IF($B39="REAL",SUMIFS(Carga_Reales!$H:$H,Carga_Reales!$A:$A,$A39,Carga_Reales!$B:$B,$C39),SUMIFS(Proyecciones!$H:$H,Proyecciones!$A:$A,$A39,Proyecciones!$B:$B,$C39))*IF($B39="REAL",1,IF(Resumen!$B$5="Conservador",Supuestos!$B$5,IF(Resumen!$B$5="Optimista",Supuestos!$B$7,Supuestos!$B$6)))</x:f>
        <x:v>0</x:v>
      </x:c>
      <x:c r="J39" s="16" t="n">
        <x:f>IF($B39="REAL",SUMIFS(Carga_Reales!$I:$I,Carga_Reales!$A:$A,$A39,Carga_Reales!$B:$B,$C39),SUMIFS(Proyecciones!$I:$I,Proyecciones!$A:$A,$A39,Proyecciones!$B:$B,$C39))*IF($B39="REAL",1,IF(Resumen!$B$5="Conservador",Supuestos!$B$5,IF(Resumen!$B$5="Optimista",Supuestos!$B$7,Supuestos!$B$6)))</x:f>
        <x:v>0</x:v>
      </x:c>
      <x:c r="K39" s="16" t="n">
        <x:f>IF($B39="REAL",SUMIFS(Carga_Reales!$J:$J,Carga_Reales!$A:$A,$A39,Carga_Reales!$B:$B,$C39),SUMIFS(Proyecciones!$J:$J,Proyecciones!$A:$A,$A39,Proyecciones!$B:$B,$C39))*IF($B39="REAL",1,IF(Resumen!$B$5="Conservador",Supuestos!$B$5,IF(Resumen!$B$5="Optimista",Supuestos!$B$7,Supuestos!$B$6)))</x:f>
        <x:v>0</x:v>
      </x:c>
      <x:c r="L39" s="16" t="n">
        <x:f>IF($B39="REAL",SUMIFS(Carga_Reales!$K:$K,Carga_Reales!$A:$A,$A39,Carga_Reales!$B:$B,$C39),SUMIFS(Proyecciones!$K:$K,Proyecciones!$A:$A,$A39,Proyecciones!$B:$B,$C39))*IF($B39="REAL",1,IF(Resumen!$B$5="Conservador",Supuestos!$E$5,IF(Resumen!$B$5="Optimista",Supuestos!$E$7,Supuestos!$E$6)))</x:f>
        <x:v>73089161.6281478</x:v>
      </x:c>
      <x:c r="M39" s="16" t="n">
        <x:f>IF($B39="REAL",SUMIFS(Carga_Reales!$L:$L,Carga_Reales!$A:$A,$A39,Carga_Reales!$B:$B,$C39),SUMIFS(Proyecciones!$L:$L,Proyecciones!$A:$A,$A39,Proyecciones!$B:$B,$C39))*IF($B39="REAL",1,IF(Resumen!$B$5="Conservador",Supuestos!$E$5,IF(Resumen!$B$5="Optimista",Supuestos!$E$7,Supuestos!$E$6)))</x:f>
        <x:v>71000000</x:v>
      </x:c>
      <x:c r="N39" s="16" t="n">
        <x:f>E39+G39+H39+I39+J39+K39</x:f>
        <x:v>1625398629.7359967</x:v>
      </x:c>
      <x:c r="O39" s="16" t="n">
        <x:f>E39-F39+G39+H39+I39+J39+K39-L39-M39</x:f>
        <x:v>142162565.6409589</x:v>
      </x:c>
      <x:c r="P39" s="16" t="n">
        <x:f>O39-IF($B39="REAL",SUMIFS(Carga_Reales!$M:$M,Carga_Reales!$A:$A,$A39,Carga_Reales!$B:$B,$C39),SUMIFS(Proyecciones!$M:$M,Proyecciones!$A:$A,$A39,Proyecciones!$B:$B,$C39))-IF($B39="REAL",SUMIFS(Carga_Reales!$N:$N,Carga_Reales!$A:$A,$A39,Carga_Reales!$B:$B,$C39),SUMIFS(Proyecciones!$N:$N,Proyecciones!$A:$A,$A39,Proyecciones!$B:$B,$C39))</x:f>
        <x:v>89805667.6666232</x:v>
      </x:c>
      <x:c r="Q39" s="16" t="n">
        <x:f>IF($B39="REAL",SUMIFS(Carga_Reales!$O:$O,Carga_Reales!$A:$A,$A39,Carga_Reales!$B:$B,$C39),SUMIFS(Proyecciones!$O:$O,Proyecciones!$A:$A,$A39,Proyecciones!$B:$B,$C39))</x:f>
        <x:v>0</x:v>
      </x:c>
      <x:c r="R39" s="16" t="n">
        <x:f>O39-Q39</x:f>
        <x:v>142162565.6409589</x:v>
      </x:c>
      <x:c r="S39" s="16" t="n">
        <x:f>E39-F39</x:f>
        <x:v>264621843.00243998</x:v>
      </x:c>
      <x:c r="T39" s="16" t="n">
        <x:f>L39+M39</x:f>
        <x:v>144089161.62814778</x:v>
      </x:c>
      <x:c r="U39" t="n">
        <x:f>IFERROR((L39+M39)/MAX(1,(S39+G39)/MAX(1,D39)),0)</x:f>
        <x:v>86.54794354540601</x:v>
      </x:c>
    </x:row>
    <x:row r="40">
      <x:c r="A40" s="26" t="n">
        <x:v>46357</x:v>
      </x:c>
      <x:c r="B40" t="str">
        <x:f>IF(EOMONTH($A40,0)&lt;=Resumen!$B$4,"REAL","PROYECTADO")</x:f>
        <x:v>PROYECTADO</x:v>
      </x:c>
      <x:c r="C40" t="str">
        <x:v>TuClick</x:v>
      </x:c>
      <x:c r="D40" s="15" t="n">
        <x:f>IF($B40="REAL",SUMIFS(Carga_Reales!$C:$C,Carga_Reales!$A:$A,$A40,Carga_Reales!$B:$B,$C40),SUMIFS(Proyecciones!$C:$C,Proyecciones!$A:$A,$A40,Proyecciones!$B:$B,$C40))*IF($B40="REAL",1,IF(Resumen!$B$5="Conservador",Supuestos!$B$5,IF(Resumen!$B$5="Optimista",Supuestos!$B$7,Supuestos!$B$6)))</x:f>
        <x:v>65.6346666666667</x:v>
      </x:c>
      <x:c r="E40" s="16" t="n">
        <x:f>IF($B40="REAL",SUMIFS(Carga_Reales!$D:$D,Carga_Reales!$A:$A,$A40,Carga_Reales!$B:$B,$C40),SUMIFS(Proyecciones!$D:$D,Proyecciones!$A:$A,$A40,Proyecciones!$B:$B,$C40))*IF($B40="REAL",1,IF(Resumen!$B$5="Conservador",Supuestos!$B$5,IF(Resumen!$B$5="Optimista",Supuestos!$B$7,Supuestos!$B$6))*IF(Resumen!$B$5="Conservador",Supuestos!$C$5,IF(Resumen!$B$5="Optimista",Supuestos!$C$7,Supuestos!$C$6)))</x:f>
        <x:v>458329962.162667</x:v>
      </x:c>
      <x:c r="F40" s="16" t="n">
        <x:f>IF($B40="REAL",SUMIFS(Carga_Reales!$E:$E,Carga_Reales!$A:$A,$A40,Carga_Reales!$B:$B,$C40),SUMIFS(Proyecciones!$E:$E,Proyecciones!$A:$A,$A40,Proyecciones!$B:$B,$C40))*IF($B40="REAL",1,IF(Resumen!$B$5="Conservador",Supuestos!$B$5,IF(Resumen!$B$5="Optimista",Supuestos!$B$7,Supuestos!$B$6))*IF(Resumen!$B$5="Conservador",Supuestos!$D$5,IF(Resumen!$B$5="Optimista",Supuestos!$D$7,Supuestos!$D$6)))</x:f>
        <x:v>391917950.645296</x:v>
      </x:c>
      <x:c r="G40" s="16" t="n">
        <x:f>IF($B40="REAL",SUMIFS(Carga_Reales!$F:$F,Carga_Reales!$A:$A,$A40,Carga_Reales!$B:$B,$C40),SUMIFS(Proyecciones!$F:$F,Proyecciones!$A:$A,$A40,Proyecciones!$B:$B,$C40))*IF($B40="REAL",1,IF(Resumen!$B$5="Conservador",Supuestos!$B$5,IF(Resumen!$B$5="Optimista",Supuestos!$B$7,Supuestos!$B$6)))</x:f>
        <x:v>14646375.8666667</x:v>
      </x:c>
      <x:c r="H40" s="16" t="n">
        <x:f>IF($B40="REAL",SUMIFS(Carga_Reales!$G:$G,Carga_Reales!$A:$A,$A40,Carga_Reales!$B:$B,$C40),SUMIFS(Proyecciones!$G:$G,Proyecciones!$A:$A,$A40,Proyecciones!$B:$B,$C40))*IF($B40="REAL",1,IF(Resumen!$B$5="Conservador",Supuestos!$B$5,IF(Resumen!$B$5="Optimista",Supuestos!$B$7,Supuestos!$B$6)))</x:f>
        <x:v>0</x:v>
      </x:c>
      <x:c r="I40" s="16" t="n">
        <x:f>IF($B40="REAL",SUMIFS(Carga_Reales!$H:$H,Carga_Reales!$A:$A,$A40,Carga_Reales!$B:$B,$C40),SUMIFS(Proyecciones!$H:$H,Proyecciones!$A:$A,$A40,Proyecciones!$B:$B,$C40))*IF($B40="REAL",1,IF(Resumen!$B$5="Conservador",Supuestos!$B$5,IF(Resumen!$B$5="Optimista",Supuestos!$B$7,Supuestos!$B$6)))</x:f>
        <x:v>0</x:v>
      </x:c>
      <x:c r="J40" s="16" t="n">
        <x:f>IF($B40="REAL",SUMIFS(Carga_Reales!$I:$I,Carga_Reales!$A:$A,$A40,Carga_Reales!$B:$B,$C40),SUMIFS(Proyecciones!$I:$I,Proyecciones!$A:$A,$A40,Proyecciones!$B:$B,$C40))*IF($B40="REAL",1,IF(Resumen!$B$5="Conservador",Supuestos!$B$5,IF(Resumen!$B$5="Optimista",Supuestos!$B$7,Supuestos!$B$6)))</x:f>
        <x:v>0</x:v>
      </x:c>
      <x:c r="K40" s="16" t="n">
        <x:f>IF($B40="REAL",SUMIFS(Carga_Reales!$J:$J,Carga_Reales!$A:$A,$A40,Carga_Reales!$B:$B,$C40),SUMIFS(Proyecciones!$J:$J,Proyecciones!$A:$A,$A40,Proyecciones!$B:$B,$C40))*IF($B40="REAL",1,IF(Resumen!$B$5="Conservador",Supuestos!$B$5,IF(Resumen!$B$5="Optimista",Supuestos!$B$7,Supuestos!$B$6)))</x:f>
        <x:v>0</x:v>
      </x:c>
      <x:c r="L40" s="16" t="n">
        <x:f>IF($B40="REAL",SUMIFS(Carga_Reales!$K:$K,Carga_Reales!$A:$A,$A40,Carga_Reales!$B:$B,$C40),SUMIFS(Proyecciones!$K:$K,Proyecciones!$A:$A,$A40,Proyecciones!$B:$B,$C40))*IF($B40="REAL",1,IF(Resumen!$B$5="Conservador",Supuestos!$E$5,IF(Resumen!$B$5="Optimista",Supuestos!$E$7,Supuestos!$E$6)))</x:f>
        <x:v>31865823.5635883</x:v>
      </x:c>
      <x:c r="M40" s="16" t="n">
        <x:f>IF($B40="REAL",SUMIFS(Carga_Reales!$L:$L,Carga_Reales!$A:$A,$A40,Carga_Reales!$B:$B,$C40),SUMIFS(Proyecciones!$L:$L,Proyecciones!$A:$A,$A40,Proyecciones!$B:$B,$C40))*IF($B40="REAL",1,IF(Resumen!$B$5="Conservador",Supuestos!$E$5,IF(Resumen!$B$5="Optimista",Supuestos!$E$7,Supuestos!$E$6)))</x:f>
        <x:v>40000000</x:v>
      </x:c>
      <x:c r="N40" s="16" t="n">
        <x:f>E40+G40+H40+I40+J40+K40</x:f>
        <x:v>472976338.02933365</x:v>
      </x:c>
      <x:c r="O40" s="16" t="n">
        <x:f>E40-F40+G40+H40+I40+J40+K40-L40-M40</x:f>
        <x:v>9192563.820449404</x:v>
      </x:c>
      <x:c r="P40" s="16" t="n">
        <x:f>O40-IF($B40="REAL",SUMIFS(Carga_Reales!$M:$M,Carga_Reales!$A:$A,$A40,Carga_Reales!$B:$B,$C40),SUMIFS(Proyecciones!$M:$M,Proyecciones!$A:$A,$A40,Proyecciones!$B:$B,$C40))-IF($B40="REAL",SUMIFS(Carga_Reales!$N:$N,Carga_Reales!$A:$A,$A40,Carga_Reales!$B:$B,$C40),SUMIFS(Proyecciones!$N:$N,Proyecciones!$A:$A,$A40,Proyecciones!$B:$B,$C40))</x:f>
        <x:v>4675166.4832923245</x:v>
      </x:c>
      <x:c r="Q40" s="16" t="n">
        <x:f>IF($B40="REAL",SUMIFS(Carga_Reales!$O:$O,Carga_Reales!$A:$A,$A40,Carga_Reales!$B:$B,$C40),SUMIFS(Proyecciones!$O:$O,Proyecciones!$A:$A,$A40,Proyecciones!$B:$B,$C40))</x:f>
        <x:v>0</x:v>
      </x:c>
      <x:c r="R40" s="16" t="n">
        <x:f>O40-Q40</x:f>
        <x:v>9192563.820449404</x:v>
      </x:c>
      <x:c r="S40" s="16" t="n">
        <x:f>E40-F40</x:f>
        <x:v>66412011.517371</x:v>
      </x:c>
      <x:c r="T40" s="16" t="n">
        <x:f>L40+M40</x:f>
        <x:v>71865823.56358829</x:v>
      </x:c>
      <x:c r="U40" t="n">
        <x:f>IFERROR((L40+M40)/MAX(1,(S40+G40)/MAX(1,D40)),0)</x:f>
        <x:v>58.191256038366056</x:v>
      </x:c>
    </x:row>
    <x:row r="41">
      <x:c r="A41" s="26" t="n">
        <x:v>46388</x:v>
      </x:c>
      <x:c r="B41" t="str">
        <x:f>IF(EOMONTH($A41,0)&lt;=Resumen!$B$4,"REAL","PROYECTADO")</x:f>
        <x:v>PROYECTADO</x:v>
      </x:c>
      <x:c r="C41" t="str">
        <x:v>Moto para Todos</x:v>
      </x:c>
      <x:c r="D41" s="15" t="n">
        <x:f>IF($B41="REAL",SUMIFS(Carga_Reales!$C:$C,Carga_Reales!$A:$A,$A41,Carga_Reales!$B:$B,$C41),SUMIFS(Proyecciones!$C:$C,Proyecciones!$A:$A,$A41,Proyecciones!$B:$B,$C41))*IF($B41="REAL",1,IF(Resumen!$B$5="Conservador",Supuestos!$B$5,IF(Resumen!$B$5="Optimista",Supuestos!$B$7,Supuestos!$B$6)))</x:f>
        <x:v>168.398864468864</x:v>
      </x:c>
      <x:c r="E41" s="16" t="n">
        <x:f>IF($B41="REAL",SUMIFS(Carga_Reales!$D:$D,Carga_Reales!$A:$A,$A41,Carga_Reales!$B:$B,$C41),SUMIFS(Proyecciones!$D:$D,Proyecciones!$A:$A,$A41,Proyecciones!$B:$B,$C41))*IF($B41="REAL",1,IF(Resumen!$B$5="Conservador",Supuestos!$B$5,IF(Resumen!$B$5="Optimista",Supuestos!$B$7,Supuestos!$B$6))*IF(Resumen!$B$5="Conservador",Supuestos!$C$5,IF(Resumen!$B$5="Optimista",Supuestos!$C$7,Supuestos!$C$6)))</x:f>
        <x:v>960204936.437802</x:v>
      </x:c>
      <x:c r="F41" s="16" t="n">
        <x:f>IF($B41="REAL",SUMIFS(Carga_Reales!$E:$E,Carga_Reales!$A:$A,$A41,Carga_Reales!$B:$B,$C41),SUMIFS(Proyecciones!$E:$E,Proyecciones!$A:$A,$A41,Proyecciones!$B:$B,$C41))*IF($B41="REAL",1,IF(Resumen!$B$5="Conservador",Supuestos!$B$5,IF(Resumen!$B$5="Optimista",Supuestos!$B$7,Supuestos!$B$6))*IF(Resumen!$B$5="Conservador",Supuestos!$D$5,IF(Resumen!$B$5="Optimista",Supuestos!$D$7,Supuestos!$D$6)))</x:f>
        <x:v>791304888.118393</x:v>
      </x:c>
      <x:c r="G41" s="16" t="n">
        <x:f>IF($B41="REAL",SUMIFS(Carga_Reales!$F:$F,Carga_Reales!$A:$A,$A41,Carga_Reales!$B:$B,$C41),SUMIFS(Proyecciones!$F:$F,Proyecciones!$A:$A,$A41,Proyecciones!$B:$B,$C41))*IF($B41="REAL",1,IF(Resumen!$B$5="Conservador",Supuestos!$B$5,IF(Resumen!$B$5="Optimista",Supuestos!$B$7,Supuestos!$B$6)))</x:f>
        <x:v>28627806.959707</x:v>
      </x:c>
      <x:c r="H41" s="16" t="n">
        <x:f>IF($B41="REAL",SUMIFS(Carga_Reales!$G:$G,Carga_Reales!$A:$A,$A41,Carga_Reales!$B:$B,$C41),SUMIFS(Proyecciones!$G:$G,Proyecciones!$A:$A,$A41,Proyecciones!$B:$B,$C41))*IF($B41="REAL",1,IF(Resumen!$B$5="Conservador",Supuestos!$B$5,IF(Resumen!$B$5="Optimista",Supuestos!$B$7,Supuestos!$B$6)))</x:f>
        <x:v>0</x:v>
      </x:c>
      <x:c r="I41" s="16" t="n">
        <x:f>IF($B41="REAL",SUMIFS(Carga_Reales!$H:$H,Carga_Reales!$A:$A,$A41,Carga_Reales!$B:$B,$C41),SUMIFS(Proyecciones!$H:$H,Proyecciones!$A:$A,$A41,Proyecciones!$B:$B,$C41))*IF($B41="REAL",1,IF(Resumen!$B$5="Conservador",Supuestos!$B$5,IF(Resumen!$B$5="Optimista",Supuestos!$B$7,Supuestos!$B$6)))</x:f>
        <x:v>0</x:v>
      </x:c>
      <x:c r="J41" s="16" t="n">
        <x:f>IF($B41="REAL",SUMIFS(Carga_Reales!$I:$I,Carga_Reales!$A:$A,$A41,Carga_Reales!$B:$B,$C41),SUMIFS(Proyecciones!$I:$I,Proyecciones!$A:$A,$A41,Proyecciones!$B:$B,$C41))*IF($B41="REAL",1,IF(Resumen!$B$5="Conservador",Supuestos!$B$5,IF(Resumen!$B$5="Optimista",Supuestos!$B$7,Supuestos!$B$6)))</x:f>
        <x:v>0</x:v>
      </x:c>
      <x:c r="K41" s="16" t="n">
        <x:f>IF($B41="REAL",SUMIFS(Carga_Reales!$J:$J,Carga_Reales!$A:$A,$A41,Carga_Reales!$B:$B,$C41),SUMIFS(Proyecciones!$J:$J,Proyecciones!$A:$A,$A41,Proyecciones!$B:$B,$C41))*IF($B41="REAL",1,IF(Resumen!$B$5="Conservador",Supuestos!$B$5,IF(Resumen!$B$5="Optimista",Supuestos!$B$7,Supuestos!$B$6)))</x:f>
        <x:v>26932774.8522311</x:v>
      </x:c>
      <x:c r="L41" s="16" t="n">
        <x:f>IF($B41="REAL",SUMIFS(Carga_Reales!$K:$K,Carga_Reales!$A:$A,$A41,Carga_Reales!$B:$B,$C41),SUMIFS(Proyecciones!$K:$K,Proyecciones!$A:$A,$A41,Proyecciones!$B:$B,$C41))*IF($B41="REAL",1,IF(Resumen!$B$5="Conservador",Supuestos!$E$5,IF(Resumen!$B$5="Optimista",Supuestos!$E$7,Supuestos!$E$6)))</x:f>
        <x:v>90774371.830064</x:v>
      </x:c>
      <x:c r="M41" s="16" t="n">
        <x:f>IF($B41="REAL",SUMIFS(Carga_Reales!$L:$L,Carga_Reales!$A:$A,$A41,Carga_Reales!$B:$B,$C41),SUMIFS(Proyecciones!$L:$L,Proyecciones!$A:$A,$A41,Proyecciones!$B:$B,$C41))*IF($B41="REAL",1,IF(Resumen!$B$5="Conservador",Supuestos!$E$5,IF(Resumen!$B$5="Optimista",Supuestos!$E$7,Supuestos!$E$6)))</x:f>
        <x:v>51304000</x:v>
      </x:c>
      <x:c r="N41" s="16" t="n">
        <x:f>E41+G41+H41+I41+J41+K41</x:f>
        <x:v>1015765518.2497401</x:v>
      </x:c>
      <x:c r="O41" s="16" t="n">
        <x:f>E41-F41+G41+H41+I41+J41+K41-L41-M41</x:f>
        <x:v>82382258.30128312</x:v>
      </x:c>
      <x:c r="P41" s="16" t="n">
        <x:f>O41-IF($B41="REAL",SUMIFS(Carga_Reales!$M:$M,Carga_Reales!$A:$A,$A41,Carga_Reales!$B:$B,$C41),SUMIFS(Proyecciones!$M:$M,Proyecciones!$A:$A,$A41,Proyecciones!$B:$B,$C41))-IF($B41="REAL",SUMIFS(Carga_Reales!$N:$N,Carga_Reales!$A:$A,$A41,Carga_Reales!$B:$B,$C41),SUMIFS(Proyecciones!$N:$N,Proyecciones!$A:$A,$A41,Proyecciones!$B:$B,$C41))</x:f>
        <x:v>50948467.895833924</x:v>
      </x:c>
      <x:c r="Q41" s="16" t="n">
        <x:f>IF($B41="REAL",SUMIFS(Carga_Reales!$O:$O,Carga_Reales!$A:$A,$A41,Carga_Reales!$B:$B,$C41),SUMIFS(Proyecciones!$O:$O,Proyecciones!$A:$A,$A41,Proyecciones!$B:$B,$C41))</x:f>
        <x:v>0</x:v>
      </x:c>
      <x:c r="R41" s="16" t="n">
        <x:f>O41-Q41</x:f>
        <x:v>82382258.30128312</x:v>
      </x:c>
      <x:c r="S41" s="16" t="n">
        <x:f>E41-F41</x:f>
        <x:v>168900048.319409</x:v>
      </x:c>
      <x:c r="T41" s="16" t="n">
        <x:f>L41+M41</x:f>
        <x:v>142078371.830064</x:v>
      </x:c>
      <x:c r="U41" t="n">
        <x:f>IFERROR((L41+M41)/MAX(1,(S41+G41)/MAX(1,D41)),0)</x:f>
        <x:v>121.12639226482511</x:v>
      </x:c>
    </x:row>
    <x:row r="42">
      <x:c r="A42" s="26" t="n">
        <x:v>46388</x:v>
      </x:c>
      <x:c r="B42" t="str">
        <x:f>IF(EOMONTH($A42,0)&lt;=Resumen!$B$4,"REAL","PROYECTADO")</x:f>
        <x:v>PROYECTADO</x:v>
      </x:c>
      <x:c r="C42" t="str">
        <x:v>Verificarte</x:v>
      </x:c>
      <x:c r="D42" s="15" t="n">
        <x:f>IF($B42="REAL",SUMIFS(Carga_Reales!$C:$C,Carga_Reales!$A:$A,$A42,Carga_Reales!$B:$B,$C42),SUMIFS(Proyecciones!$C:$C,Proyecciones!$A:$A,$A42,Proyecciones!$B:$B,$C42))*IF($B42="REAL",1,IF(Resumen!$B$5="Conservador",Supuestos!$B$5,IF(Resumen!$B$5="Optimista",Supuestos!$B$7,Supuestos!$B$6)))</x:f>
        <x:v>175.381256410256</x:v>
      </x:c>
      <x:c r="E42" s="16" t="n">
        <x:f>IF($B42="REAL",SUMIFS(Carga_Reales!$D:$D,Carga_Reales!$A:$A,$A42,Carga_Reales!$B:$B,$C42),SUMIFS(Proyecciones!$D:$D,Proyecciones!$A:$A,$A42,Proyecciones!$B:$B,$C42))*IF($B42="REAL",1,IF(Resumen!$B$5="Conservador",Supuestos!$B$5,IF(Resumen!$B$5="Optimista",Supuestos!$B$7,Supuestos!$B$6))*IF(Resumen!$B$5="Conservador",Supuestos!$C$5,IF(Resumen!$B$5="Optimista",Supuestos!$C$7,Supuestos!$C$6)))</x:f>
        <x:v>1635879718.18582</x:v>
      </x:c>
      <x:c r="F42" s="16" t="n">
        <x:f>IF($B42="REAL",SUMIFS(Carga_Reales!$E:$E,Carga_Reales!$A:$A,$A42,Carga_Reales!$B:$B,$C42),SUMIFS(Proyecciones!$E:$E,Proyecciones!$A:$A,$A42,Proyecciones!$B:$B,$C42))*IF($B42="REAL",1,IF(Resumen!$B$5="Conservador",Supuestos!$B$5,IF(Resumen!$B$5="Optimista",Supuestos!$B$7,Supuestos!$B$6))*IF(Resumen!$B$5="Conservador",Supuestos!$D$5,IF(Resumen!$B$5="Optimista",Supuestos!$D$7,Supuestos!$D$6)))</x:f>
        <x:v>1365959564.68516</x:v>
      </x:c>
      <x:c r="G42" s="16" t="n">
        <x:f>IF($B42="REAL",SUMIFS(Carga_Reales!$F:$F,Carga_Reales!$A:$A,$A42,Carga_Reales!$B:$B,$C42),SUMIFS(Proyecciones!$F:$F,Proyecciones!$A:$A,$A42,Proyecciones!$B:$B,$C42))*IF($B42="REAL",1,IF(Resumen!$B$5="Conservador",Supuestos!$B$5,IF(Resumen!$B$5="Optimista",Supuestos!$B$7,Supuestos!$B$6)))</x:f>
        <x:v>22062962.0564103</x:v>
      </x:c>
      <x:c r="H42" s="16" t="n">
        <x:f>IF($B42="REAL",SUMIFS(Carga_Reales!$G:$G,Carga_Reales!$A:$A,$A42,Carga_Reales!$B:$B,$C42),SUMIFS(Proyecciones!$G:$G,Proyecciones!$A:$A,$A42,Proyecciones!$B:$B,$C42))*IF($B42="REAL",1,IF(Resumen!$B$5="Conservador",Supuestos!$B$5,IF(Resumen!$B$5="Optimista",Supuestos!$B$7,Supuestos!$B$6)))</x:f>
        <x:v>0</x:v>
      </x:c>
      <x:c r="I42" s="16" t="n">
        <x:f>IF($B42="REAL",SUMIFS(Carga_Reales!$H:$H,Carga_Reales!$A:$A,$A42,Carga_Reales!$B:$B,$C42),SUMIFS(Proyecciones!$H:$H,Proyecciones!$A:$A,$A42,Proyecciones!$B:$B,$C42))*IF($B42="REAL",1,IF(Resumen!$B$5="Conservador",Supuestos!$B$5,IF(Resumen!$B$5="Optimista",Supuestos!$B$7,Supuestos!$B$6)))</x:f>
        <x:v>0</x:v>
      </x:c>
      <x:c r="J42" s="16" t="n">
        <x:f>IF($B42="REAL",SUMIFS(Carga_Reales!$I:$I,Carga_Reales!$A:$A,$A42,Carga_Reales!$B:$B,$C42),SUMIFS(Proyecciones!$I:$I,Proyecciones!$A:$A,$A42,Proyecciones!$B:$B,$C42))*IF($B42="REAL",1,IF(Resumen!$B$5="Conservador",Supuestos!$B$5,IF(Resumen!$B$5="Optimista",Supuestos!$B$7,Supuestos!$B$6)))</x:f>
        <x:v>0</x:v>
      </x:c>
      <x:c r="K42" s="16" t="n">
        <x:f>IF($B42="REAL",SUMIFS(Carga_Reales!$J:$J,Carga_Reales!$A:$A,$A42,Carga_Reales!$B:$B,$C42),SUMIFS(Proyecciones!$J:$J,Proyecciones!$A:$A,$A42,Proyecciones!$B:$B,$C42))*IF($B42="REAL",1,IF(Resumen!$B$5="Conservador",Supuestos!$B$5,IF(Resumen!$B$5="Optimista",Supuestos!$B$7,Supuestos!$B$6)))</x:f>
        <x:v>0</x:v>
      </x:c>
      <x:c r="L42" s="16" t="n">
        <x:f>IF($B42="REAL",SUMIFS(Carga_Reales!$K:$K,Carga_Reales!$A:$A,$A42,Carga_Reales!$B:$B,$C42),SUMIFS(Proyecciones!$K:$K,Proyecciones!$A:$A,$A42,Proyecciones!$B:$B,$C42))*IF($B42="REAL",1,IF(Resumen!$B$5="Conservador",Supuestos!$E$5,IF(Resumen!$B$5="Optimista",Supuestos!$E$7,Supuestos!$E$6)))</x:f>
        <x:v>73089161.6281478</x:v>
      </x:c>
      <x:c r="M42" s="16" t="n">
        <x:f>IF($B42="REAL",SUMIFS(Carga_Reales!$L:$L,Carga_Reales!$A:$A,$A42,Carga_Reales!$B:$B,$C42),SUMIFS(Proyecciones!$L:$L,Proyecciones!$A:$A,$A42,Proyecciones!$B:$B,$C42))*IF($B42="REAL",1,IF(Resumen!$B$5="Conservador",Supuestos!$E$5,IF(Resumen!$B$5="Optimista",Supuestos!$E$7,Supuestos!$E$6)))</x:f>
        <x:v>75260000</x:v>
      </x:c>
      <x:c r="N42" s="16" t="n">
        <x:f>E42+G42+H42+I42+J42+K42</x:f>
        <x:v>1657942680.2422304</x:v>
      </x:c>
      <x:c r="O42" s="16" t="n">
        <x:f>E42-F42+G42+H42+I42+J42+K42-L42-M42</x:f>
        <x:v>143633953.9289227</x:v>
      </x:c>
      <x:c r="P42" s="16" t="n">
        <x:f>O42-IF($B42="REAL",SUMIFS(Carga_Reales!$M:$M,Carga_Reales!$A:$A,$A42,Carga_Reales!$B:$B,$C42),SUMIFS(Proyecciones!$M:$M,Proyecciones!$A:$A,$A42,Proyecciones!$B:$B,$C42))-IF($B42="REAL",SUMIFS(Carga_Reales!$N:$N,Carga_Reales!$A:$A,$A42,Carga_Reales!$B:$B,$C42),SUMIFS(Proyecciones!$N:$N,Proyecciones!$A:$A,$A42,Proyecciones!$B:$B,$C42))</x:f>
        <x:v>90762070.05379972</x:v>
      </x:c>
      <x:c r="Q42" s="16" t="n">
        <x:f>IF($B42="REAL",SUMIFS(Carga_Reales!$O:$O,Carga_Reales!$A:$A,$A42,Carga_Reales!$B:$B,$C42),SUMIFS(Proyecciones!$O:$O,Proyecciones!$A:$A,$A42,Proyecciones!$B:$B,$C42))</x:f>
        <x:v>0</x:v>
      </x:c>
      <x:c r="R42" s="16" t="n">
        <x:f>O42-Q42</x:f>
        <x:v>143633953.9289227</x:v>
      </x:c>
      <x:c r="S42" s="16" t="n">
        <x:f>E42-F42</x:f>
        <x:v>269920153.5006602</x:v>
      </x:c>
      <x:c r="T42" s="16" t="n">
        <x:f>L42+M42</x:f>
        <x:v>148349161.62814778</x:v>
      </x:c>
      <x:c r="U42" t="n">
        <x:f>IFERROR((L42+M42)/MAX(1,(S42+G42)/MAX(1,D42)),0)</x:f>
        <x:v>89.10673586078414</x:v>
      </x:c>
    </x:row>
    <x:row r="43">
      <x:c r="A43" s="26" t="n">
        <x:v>46388</x:v>
      </x:c>
      <x:c r="B43" t="str">
        <x:f>IF(EOMONTH($A43,0)&lt;=Resumen!$B$4,"REAL","PROYECTADO")</x:f>
        <x:v>PROYECTADO</x:v>
      </x:c>
      <x:c r="C43" t="str">
        <x:v>TuClick</x:v>
      </x:c>
      <x:c r="D43" s="15" t="n">
        <x:f>IF($B43="REAL",SUMIFS(Carga_Reales!$C:$C,Carga_Reales!$A:$A,$A43,Carga_Reales!$B:$B,$C43),SUMIFS(Proyecciones!$C:$C,Proyecciones!$A:$A,$A43,Proyecciones!$B:$B,$C43))*IF($B43="REAL",1,IF(Resumen!$B$5="Conservador",Supuestos!$B$5,IF(Resumen!$B$5="Optimista",Supuestos!$B$7,Supuestos!$B$6)))</x:f>
        <x:v>66.9488168498168</x:v>
      </x:c>
      <x:c r="E43" s="16" t="n">
        <x:f>IF($B43="REAL",SUMIFS(Carga_Reales!$D:$D,Carga_Reales!$A:$A,$A43,Carga_Reales!$B:$B,$C43),SUMIFS(Proyecciones!$D:$D,Proyecciones!$A:$A,$A43,Proyecciones!$B:$B,$C43))*IF($B43="REAL",1,IF(Resumen!$B$5="Conservador",Supuestos!$B$5,IF(Resumen!$B$5="Optimista",Supuestos!$B$7,Supuestos!$B$6))*IF(Resumen!$B$5="Conservador",Supuestos!$C$5,IF(Resumen!$B$5="Optimista",Supuestos!$C$7,Supuestos!$C$6)))</x:f>
        <x:v>467506734.656663</x:v>
      </x:c>
      <x:c r="F43" s="16" t="n">
        <x:f>IF($B43="REAL",SUMIFS(Carga_Reales!$E:$E,Carga_Reales!$A:$A,$A43,Carga_Reales!$B:$B,$C43),SUMIFS(Proyecciones!$E:$E,Proyecciones!$A:$A,$A43,Proyecciones!$B:$B,$C43))*IF($B43="REAL",1,IF(Resumen!$B$5="Conservador",Supuestos!$B$5,IF(Resumen!$B$5="Optimista",Supuestos!$B$7,Supuestos!$B$6))*IF(Resumen!$B$5="Conservador",Supuestos!$D$5,IF(Resumen!$B$5="Optimista",Supuestos!$D$7,Supuestos!$D$6)))</x:f>
        <x:v>399765008.804912</x:v>
      </x:c>
      <x:c r="G43" s="16" t="n">
        <x:f>IF($B43="REAL",SUMIFS(Carga_Reales!$F:$F,Carga_Reales!$A:$A,$A43,Carga_Reales!$B:$B,$C43),SUMIFS(Proyecciones!$F:$F,Proyecciones!$A:$A,$A43,Proyecciones!$B:$B,$C43))*IF($B43="REAL",1,IF(Resumen!$B$5="Conservador",Supuestos!$B$5,IF(Resumen!$B$5="Optimista",Supuestos!$B$7,Supuestos!$B$6)))</x:f>
        <x:v>14939628.4800366</x:v>
      </x:c>
      <x:c r="H43" s="16" t="n">
        <x:f>IF($B43="REAL",SUMIFS(Carga_Reales!$G:$G,Carga_Reales!$A:$A,$A43,Carga_Reales!$B:$B,$C43),SUMIFS(Proyecciones!$G:$G,Proyecciones!$A:$A,$A43,Proyecciones!$B:$B,$C43))*IF($B43="REAL",1,IF(Resumen!$B$5="Conservador",Supuestos!$B$5,IF(Resumen!$B$5="Optimista",Supuestos!$B$7,Supuestos!$B$6)))</x:f>
        <x:v>0</x:v>
      </x:c>
      <x:c r="I43" s="16" t="n">
        <x:f>IF($B43="REAL",SUMIFS(Carga_Reales!$H:$H,Carga_Reales!$A:$A,$A43,Carga_Reales!$B:$B,$C43),SUMIFS(Proyecciones!$H:$H,Proyecciones!$A:$A,$A43,Proyecciones!$B:$B,$C43))*IF($B43="REAL",1,IF(Resumen!$B$5="Conservador",Supuestos!$B$5,IF(Resumen!$B$5="Optimista",Supuestos!$B$7,Supuestos!$B$6)))</x:f>
        <x:v>0</x:v>
      </x:c>
      <x:c r="J43" s="16" t="n">
        <x:f>IF($B43="REAL",SUMIFS(Carga_Reales!$I:$I,Carga_Reales!$A:$A,$A43,Carga_Reales!$B:$B,$C43),SUMIFS(Proyecciones!$I:$I,Proyecciones!$A:$A,$A43,Proyecciones!$B:$B,$C43))*IF($B43="REAL",1,IF(Resumen!$B$5="Conservador",Supuestos!$B$5,IF(Resumen!$B$5="Optimista",Supuestos!$B$7,Supuestos!$B$6)))</x:f>
        <x:v>0</x:v>
      </x:c>
      <x:c r="K43" s="16" t="n">
        <x:f>IF($B43="REAL",SUMIFS(Carga_Reales!$J:$J,Carga_Reales!$A:$A,$A43,Carga_Reales!$B:$B,$C43),SUMIFS(Proyecciones!$J:$J,Proyecciones!$A:$A,$A43,Proyecciones!$B:$B,$C43))*IF($B43="REAL",1,IF(Resumen!$B$5="Conservador",Supuestos!$B$5,IF(Resumen!$B$5="Optimista",Supuestos!$B$7,Supuestos!$B$6)))</x:f>
        <x:v>0</x:v>
      </x:c>
      <x:c r="L43" s="16" t="n">
        <x:f>IF($B43="REAL",SUMIFS(Carga_Reales!$K:$K,Carga_Reales!$A:$A,$A43,Carga_Reales!$B:$B,$C43),SUMIFS(Proyecciones!$K:$K,Proyecciones!$A:$A,$A43,Proyecciones!$B:$B,$C43))*IF($B43="REAL",1,IF(Resumen!$B$5="Conservador",Supuestos!$E$5,IF(Resumen!$B$5="Optimista",Supuestos!$E$7,Supuestos!$E$6)))</x:f>
        <x:v>31865823.5635883</x:v>
      </x:c>
      <x:c r="M43" s="16" t="n">
        <x:f>IF($B43="REAL",SUMIFS(Carga_Reales!$L:$L,Carga_Reales!$A:$A,$A43,Carga_Reales!$B:$B,$C43),SUMIFS(Proyecciones!$L:$L,Proyecciones!$A:$A,$A43,Proyecciones!$B:$B,$C43))*IF($B43="REAL",1,IF(Resumen!$B$5="Conservador",Supuestos!$E$5,IF(Resumen!$B$5="Optimista",Supuestos!$E$7,Supuestos!$E$6)))</x:f>
        <x:v>42400000</x:v>
      </x:c>
      <x:c r="N43" s="16" t="n">
        <x:f>E43+G43+H43+I43+J43+K43</x:f>
        <x:v>482446363.1366996</x:v>
      </x:c>
      <x:c r="O43" s="16" t="n">
        <x:f>E43-F43+G43+H43+I43+J43+K43-L43-M43</x:f>
        <x:v>8415530.768199332</x:v>
      </x:c>
      <x:c r="P43" s="16" t="n">
        <x:f>O43-IF($B43="REAL",SUMIFS(Carga_Reales!$M:$M,Carga_Reales!$A:$A,$A43,Carga_Reales!$B:$B,$C43),SUMIFS(Proyecciones!$M:$M,Proyecciones!$A:$A,$A43,Proyecciones!$B:$B,$C43))-IF($B43="REAL",SUMIFS(Carga_Reales!$N:$N,Carga_Reales!$A:$A,$A43,Carga_Reales!$B:$B,$C43),SUMIFS(Proyecciones!$N:$N,Proyecciones!$A:$A,$A43,Proyecciones!$B:$B,$C43))</x:f>
        <x:v>4170094.9993297323</x:v>
      </x:c>
      <x:c r="Q43" s="16" t="n">
        <x:f>IF($B43="REAL",SUMIFS(Carga_Reales!$O:$O,Carga_Reales!$A:$A,$A43,Carga_Reales!$B:$B,$C43),SUMIFS(Proyecciones!$O:$O,Proyecciones!$A:$A,$A43,Proyecciones!$B:$B,$C43))</x:f>
        <x:v>0</x:v>
      </x:c>
      <x:c r="R43" s="16" t="n">
        <x:f>O43-Q43</x:f>
        <x:v>8415530.768199332</x:v>
      </x:c>
      <x:c r="S43" s="16" t="n">
        <x:f>E43-F43</x:f>
        <x:v>67741725.85175103</x:v>
      </x:c>
      <x:c r="T43" s="16" t="n">
        <x:f>L43+M43</x:f>
        <x:v>74265823.56358829</x:v>
      </x:c>
      <x:c r="U43" t="n">
        <x:f>IFERROR((L43+M43)/MAX(1,(S43+G43)/MAX(1,D43)),0)</x:f>
        <x:v>60.13458608826809</x:v>
      </x:c>
    </x:row>
    <x:row r="44">
      <x:c r="A44" s="26" t="n">
        <x:v>46419</x:v>
      </x:c>
      <x:c r="B44" t="str">
        <x:f>IF(EOMONTH($A44,0)&lt;=Resumen!$B$4,"REAL","PROYECTADO")</x:f>
        <x:v>PROYECTADO</x:v>
      </x:c>
      <x:c r="C44" t="str">
        <x:v>Moto para Todos</x:v>
      </x:c>
      <x:c r="D44" s="15" t="n">
        <x:f>IF($B44="REAL",SUMIFS(Carga_Reales!$C:$C,Carga_Reales!$A:$A,$A44,Carga_Reales!$B:$B,$C44),SUMIFS(Proyecciones!$C:$C,Proyecciones!$A:$A,$A44,Proyecciones!$B:$B,$C44))*IF($B44="REAL",1,IF(Resumen!$B$5="Conservador",Supuestos!$B$5,IF(Resumen!$B$5="Optimista",Supuestos!$B$7,Supuestos!$B$6)))</x:f>
        <x:v>171.704395604396</x:v>
      </x:c>
      <x:c r="E44" s="16" t="n">
        <x:f>IF($B44="REAL",SUMIFS(Carga_Reales!$D:$D,Carga_Reales!$A:$A,$A44,Carga_Reales!$B:$B,$C44),SUMIFS(Proyecciones!$D:$D,Proyecciones!$A:$A,$A44,Proyecciones!$B:$B,$C44))*IF($B44="REAL",1,IF(Resumen!$B$5="Conservador",Supuestos!$B$5,IF(Resumen!$B$5="Optimista",Supuestos!$B$7,Supuestos!$B$6))*IF(Resumen!$B$5="Conservador",Supuestos!$C$5,IF(Resumen!$B$5="Optimista",Supuestos!$C$7,Supuestos!$C$6)))</x:f>
        <x:v>979052969.195604</x:v>
      </x:c>
      <x:c r="F44" s="16" t="n">
        <x:f>IF($B44="REAL",SUMIFS(Carga_Reales!$E:$E,Carga_Reales!$A:$A,$A44,Carga_Reales!$B:$B,$C44),SUMIFS(Proyecciones!$E:$E,Proyecciones!$A:$A,$A44,Proyecciones!$B:$B,$C44))*IF($B44="REAL",1,IF(Resumen!$B$5="Conservador",Supuestos!$B$5,IF(Resumen!$B$5="Optimista",Supuestos!$B$7,Supuestos!$B$6))*IF(Resumen!$B$5="Conservador",Supuestos!$D$5,IF(Resumen!$B$5="Optimista",Supuestos!$D$7,Supuestos!$D$6)))</x:f>
        <x:v>806837551.914098</x:v>
      </x:c>
      <x:c r="G44" s="16" t="n">
        <x:f>IF($B44="REAL",SUMIFS(Carga_Reales!$F:$F,Carga_Reales!$A:$A,$A44,Carga_Reales!$B:$B,$C44),SUMIFS(Proyecciones!$F:$F,Proyecciones!$A:$A,$A44,Proyecciones!$B:$B,$C44))*IF($B44="REAL",1,IF(Resumen!$B$5="Conservador",Supuestos!$B$5,IF(Resumen!$B$5="Optimista",Supuestos!$B$7,Supuestos!$B$6)))</x:f>
        <x:v>29189747.2527473</x:v>
      </x:c>
      <x:c r="H44" s="16" t="n">
        <x:f>IF($B44="REAL",SUMIFS(Carga_Reales!$G:$G,Carga_Reales!$A:$A,$A44,Carga_Reales!$B:$B,$C44),SUMIFS(Proyecciones!$G:$G,Proyecciones!$A:$A,$A44,Proyecciones!$B:$B,$C44))*IF($B44="REAL",1,IF(Resumen!$B$5="Conservador",Supuestos!$B$5,IF(Resumen!$B$5="Optimista",Supuestos!$B$7,Supuestos!$B$6)))</x:f>
        <x:v>0</x:v>
      </x:c>
      <x:c r="I44" s="16" t="n">
        <x:f>IF($B44="REAL",SUMIFS(Carga_Reales!$H:$H,Carga_Reales!$A:$A,$A44,Carga_Reales!$B:$B,$C44),SUMIFS(Proyecciones!$H:$H,Proyecciones!$A:$A,$A44,Proyecciones!$B:$B,$C44))*IF($B44="REAL",1,IF(Resumen!$B$5="Conservador",Supuestos!$B$5,IF(Resumen!$B$5="Optimista",Supuestos!$B$7,Supuestos!$B$6)))</x:f>
        <x:v>0</x:v>
      </x:c>
      <x:c r="J44" s="16" t="n">
        <x:f>IF($B44="REAL",SUMIFS(Carga_Reales!$I:$I,Carga_Reales!$A:$A,$A44,Carga_Reales!$B:$B,$C44),SUMIFS(Proyecciones!$I:$I,Proyecciones!$A:$A,$A44,Proyecciones!$B:$B,$C44))*IF($B44="REAL",1,IF(Resumen!$B$5="Conservador",Supuestos!$B$5,IF(Resumen!$B$5="Optimista",Supuestos!$B$7,Supuestos!$B$6)))</x:f>
        <x:v>0</x:v>
      </x:c>
      <x:c r="K44" s="16" t="n">
        <x:f>IF($B44="REAL",SUMIFS(Carga_Reales!$J:$J,Carga_Reales!$A:$A,$A44,Carga_Reales!$B:$B,$C44),SUMIFS(Proyecciones!$J:$J,Proyecciones!$A:$A,$A44,Proyecciones!$B:$B,$C44))*IF($B44="REAL",1,IF(Resumen!$B$5="Conservador",Supuestos!$B$5,IF(Resumen!$B$5="Optimista",Supuestos!$B$7,Supuestos!$B$6)))</x:f>
        <x:v>31674857.8780768</x:v>
      </x:c>
      <x:c r="L44" s="16" t="n">
        <x:f>IF($B44="REAL",SUMIFS(Carga_Reales!$K:$K,Carga_Reales!$A:$A,$A44,Carga_Reales!$B:$B,$C44),SUMIFS(Proyecciones!$K:$K,Proyecciones!$A:$A,$A44,Proyecciones!$B:$B,$C44))*IF($B44="REAL",1,IF(Resumen!$B$5="Conservador",Supuestos!$E$5,IF(Resumen!$B$5="Optimista",Supuestos!$E$7,Supuestos!$E$6)))</x:f>
        <x:v>90774371.830064</x:v>
      </x:c>
      <x:c r="M44" s="16" t="n">
        <x:f>IF($B44="REAL",SUMIFS(Carga_Reales!$L:$L,Carga_Reales!$A:$A,$A44,Carga_Reales!$B:$B,$C44),SUMIFS(Proyecciones!$L:$L,Proyecciones!$A:$A,$A44,Proyecciones!$B:$B,$C44))*IF($B44="REAL",1,IF(Resumen!$B$5="Conservador",Supuestos!$E$5,IF(Resumen!$B$5="Optimista",Supuestos!$E$7,Supuestos!$E$6)))</x:f>
        <x:v>51304000</x:v>
      </x:c>
      <x:c r="N44" s="16" t="n">
        <x:f>E44+G44+H44+I44+J44+K44</x:f>
        <x:v>1039917574.326428</x:v>
      </x:c>
      <x:c r="O44" s="16" t="n">
        <x:f>E44-F44+G44+H44+I44+J44+K44-L44-M44</x:f>
        <x:v>91001650.58226603</x:v>
      </x:c>
      <x:c r="P44" s="16" t="n">
        <x:f>O44-IF($B44="REAL",SUMIFS(Carga_Reales!$M:$M,Carga_Reales!$A:$A,$A44,Carga_Reales!$B:$B,$C44),SUMIFS(Proyecciones!$M:$M,Proyecciones!$A:$A,$A44,Proyecciones!$B:$B,$C44))-IF($B44="REAL",SUMIFS(Carga_Reales!$N:$N,Carga_Reales!$A:$A,$A44,Carga_Reales!$B:$B,$C44),SUMIFS(Proyecciones!$N:$N,Proyecciones!$A:$A,$A44,Proyecciones!$B:$B,$C44))</x:f>
        <x:v>56551072.87847263</x:v>
      </x:c>
      <x:c r="Q44" s="16" t="n">
        <x:f>IF($B44="REAL",SUMIFS(Carga_Reales!$O:$O,Carga_Reales!$A:$A,$A44,Carga_Reales!$B:$B,$C44),SUMIFS(Proyecciones!$O:$O,Proyecciones!$A:$A,$A44,Proyecciones!$B:$B,$C44))</x:f>
        <x:v>0</x:v>
      </x:c>
      <x:c r="R44" s="16" t="n">
        <x:f>O44-Q44</x:f>
        <x:v>91001650.58226603</x:v>
      </x:c>
      <x:c r="S44" s="16" t="n">
        <x:f>E44-F44</x:f>
        <x:v>172215417.28150594</x:v>
      </x:c>
      <x:c r="T44" s="16" t="n">
        <x:f>L44+M44</x:f>
        <x:v>142078371.830064</x:v>
      </x:c>
      <x:c r="U44" t="n">
        <x:f>IFERROR((L44+M44)/MAX(1,(S44+G44)/MAX(1,D44)),0)</x:f>
        <x:v>121.12639226482602</x:v>
      </x:c>
    </x:row>
    <x:row r="45">
      <x:c r="A45" s="26" t="n">
        <x:v>46419</x:v>
      </x:c>
      <x:c r="B45" t="str">
        <x:f>IF(EOMONTH($A45,0)&lt;=Resumen!$B$4,"REAL","PROYECTADO")</x:f>
        <x:v>PROYECTADO</x:v>
      </x:c>
      <x:c r="C45" t="str">
        <x:v>Verificarte</x:v>
      </x:c>
      <x:c r="D45" s="15" t="n">
        <x:f>IF($B45="REAL",SUMIFS(Carga_Reales!$C:$C,Carga_Reales!$A:$A,$A45,Carga_Reales!$B:$B,$C45),SUMIFS(Proyecciones!$C:$C,Proyecciones!$A:$A,$A45,Proyecciones!$B:$B,$C45))*IF($B45="REAL",1,IF(Resumen!$B$5="Conservador",Supuestos!$B$5,IF(Resumen!$B$5="Optimista",Supuestos!$B$7,Supuestos!$B$6)))</x:f>
        <x:v>178.823846153846</x:v>
      </x:c>
      <x:c r="E45" s="16" t="n">
        <x:f>IF($B45="REAL",SUMIFS(Carga_Reales!$D:$D,Carga_Reales!$A:$A,$A45,Carga_Reales!$B:$B,$C45),SUMIFS(Proyecciones!$D:$D,Proyecciones!$A:$A,$A45,Proyecciones!$B:$B,$C45))*IF($B45="REAL",1,IF(Resumen!$B$5="Conservador",Supuestos!$B$5,IF(Resumen!$B$5="Optimista",Supuestos!$B$7,Supuestos!$B$6))*IF(Resumen!$B$5="Conservador",Supuestos!$C$5,IF(Resumen!$B$5="Optimista",Supuestos!$C$7,Supuestos!$C$6)))</x:f>
        <x:v>1667990690.90231</x:v>
      </x:c>
      <x:c r="F45" s="16" t="n">
        <x:f>IF($B45="REAL",SUMIFS(Carga_Reales!$E:$E,Carga_Reales!$A:$A,$A45,Carga_Reales!$B:$B,$C45),SUMIFS(Proyecciones!$E:$E,Proyecciones!$A:$A,$A45,Proyecciones!$B:$B,$C45))*IF($B45="REAL",1,IF(Resumen!$B$5="Conservador",Supuestos!$B$5,IF(Resumen!$B$5="Optimista",Supuestos!$B$7,Supuestos!$B$6))*IF(Resumen!$B$5="Conservador",Supuestos!$D$5,IF(Resumen!$B$5="Optimista",Supuestos!$D$7,Supuestos!$D$6)))</x:f>
        <x:v>1392772226.90343</x:v>
      </x:c>
      <x:c r="G45" s="16" t="n">
        <x:f>IF($B45="REAL",SUMIFS(Carga_Reales!$F:$F,Carga_Reales!$A:$A,$A45,Carga_Reales!$B:$B,$C45),SUMIFS(Proyecciones!$F:$F,Proyecciones!$A:$A,$A45,Proyecciones!$B:$B,$C45))*IF($B45="REAL",1,IF(Resumen!$B$5="Conservador",Supuestos!$B$5,IF(Resumen!$B$5="Optimista",Supuestos!$B$7,Supuestos!$B$6)))</x:f>
        <x:v>22496039.8461538</x:v>
      </x:c>
      <x:c r="H45" s="16" t="n">
        <x:f>IF($B45="REAL",SUMIFS(Carga_Reales!$G:$G,Carga_Reales!$A:$A,$A45,Carga_Reales!$B:$B,$C45),SUMIFS(Proyecciones!$G:$G,Proyecciones!$A:$A,$A45,Proyecciones!$B:$B,$C45))*IF($B45="REAL",1,IF(Resumen!$B$5="Conservador",Supuestos!$B$5,IF(Resumen!$B$5="Optimista",Supuestos!$B$7,Supuestos!$B$6)))</x:f>
        <x:v>0</x:v>
      </x:c>
      <x:c r="I45" s="16" t="n">
        <x:f>IF($B45="REAL",SUMIFS(Carga_Reales!$H:$H,Carga_Reales!$A:$A,$A45,Carga_Reales!$B:$B,$C45),SUMIFS(Proyecciones!$H:$H,Proyecciones!$A:$A,$A45,Proyecciones!$B:$B,$C45))*IF($B45="REAL",1,IF(Resumen!$B$5="Conservador",Supuestos!$B$5,IF(Resumen!$B$5="Optimista",Supuestos!$B$7,Supuestos!$B$6)))</x:f>
        <x:v>0</x:v>
      </x:c>
      <x:c r="J45" s="16" t="n">
        <x:f>IF($B45="REAL",SUMIFS(Carga_Reales!$I:$I,Carga_Reales!$A:$A,$A45,Carga_Reales!$B:$B,$C45),SUMIFS(Proyecciones!$I:$I,Proyecciones!$A:$A,$A45,Proyecciones!$B:$B,$C45))*IF($B45="REAL",1,IF(Resumen!$B$5="Conservador",Supuestos!$B$5,IF(Resumen!$B$5="Optimista",Supuestos!$B$7,Supuestos!$B$6)))</x:f>
        <x:v>0</x:v>
      </x:c>
      <x:c r="K45" s="16" t="n">
        <x:f>IF($B45="REAL",SUMIFS(Carga_Reales!$J:$J,Carga_Reales!$A:$A,$A45,Carga_Reales!$B:$B,$C45),SUMIFS(Proyecciones!$J:$J,Proyecciones!$A:$A,$A45,Proyecciones!$B:$B,$C45))*IF($B45="REAL",1,IF(Resumen!$B$5="Conservador",Supuestos!$B$5,IF(Resumen!$B$5="Optimista",Supuestos!$B$7,Supuestos!$B$6)))</x:f>
        <x:v>0</x:v>
      </x:c>
      <x:c r="L45" s="16" t="n">
        <x:f>IF($B45="REAL",SUMIFS(Carga_Reales!$K:$K,Carga_Reales!$A:$A,$A45,Carga_Reales!$B:$B,$C45),SUMIFS(Proyecciones!$K:$K,Proyecciones!$A:$A,$A45,Proyecciones!$B:$B,$C45))*IF($B45="REAL",1,IF(Resumen!$B$5="Conservador",Supuestos!$E$5,IF(Resumen!$B$5="Optimista",Supuestos!$E$7,Supuestos!$E$6)))</x:f>
        <x:v>73089161.6281478</x:v>
      </x:c>
      <x:c r="M45" s="16" t="n">
        <x:f>IF($B45="REAL",SUMIFS(Carga_Reales!$L:$L,Carga_Reales!$A:$A,$A45,Carga_Reales!$B:$B,$C45),SUMIFS(Proyecciones!$L:$L,Proyecciones!$A:$A,$A45,Proyecciones!$B:$B,$C45))*IF($B45="REAL",1,IF(Resumen!$B$5="Conservador",Supuestos!$E$5,IF(Resumen!$B$5="Optimista",Supuestos!$E$7,Supuestos!$E$6)))</x:f>
        <x:v>75260000</x:v>
      </x:c>
      <x:c r="N45" s="16" t="n">
        <x:f>E45+G45+H45+I45+J45+K45</x:f>
        <x:v>1690486730.7484636</x:v>
      </x:c>
      <x:c r="O45" s="16" t="n">
        <x:f>E45-F45+G45+H45+I45+J45+K45-L45-M45</x:f>
        <x:v>149365342.21688592</x:v>
      </x:c>
      <x:c r="P45" s="16" t="n">
        <x:f>O45-IF($B45="REAL",SUMIFS(Carga_Reales!$M:$M,Carga_Reales!$A:$A,$A45,Carga_Reales!$B:$B,$C45),SUMIFS(Proyecciones!$M:$M,Proyecciones!$A:$A,$A45,Proyecciones!$B:$B,$C45))-IF($B45="REAL",SUMIFS(Carga_Reales!$N:$N,Carga_Reales!$A:$A,$A45,Carga_Reales!$B:$B,$C45),SUMIFS(Proyecciones!$N:$N,Proyecciones!$A:$A,$A45,Proyecciones!$B:$B,$C45))</x:f>
        <x:v>94487472.44097552</x:v>
      </x:c>
      <x:c r="Q45" s="16" t="n">
        <x:f>IF($B45="REAL",SUMIFS(Carga_Reales!$O:$O,Carga_Reales!$A:$A,$A45,Carga_Reales!$B:$B,$C45),SUMIFS(Proyecciones!$O:$O,Proyecciones!$A:$A,$A45,Proyecciones!$B:$B,$C45))</x:f>
        <x:v>0</x:v>
      </x:c>
      <x:c r="R45" s="16" t="n">
        <x:f>O45-Q45</x:f>
        <x:v>149365342.21688592</x:v>
      </x:c>
      <x:c r="S45" s="16" t="n">
        <x:f>E45-F45</x:f>
        <x:v>275218463.9988799</x:v>
      </x:c>
      <x:c r="T45" s="16" t="n">
        <x:f>L45+M45</x:f>
        <x:v>148349161.62814778</x:v>
      </x:c>
      <x:c r="U45" t="n">
        <x:f>IFERROR((L45+M45)/MAX(1,(S45+G45)/MAX(1,D45)),0)</x:f>
        <x:v>89.10673586078451</x:v>
      </x:c>
    </x:row>
    <x:row r="46">
      <x:c r="A46" s="26" t="n">
        <x:v>46419</x:v>
      </x:c>
      <x:c r="B46" t="str">
        <x:f>IF(EOMONTH($A46,0)&lt;=Resumen!$B$4,"REAL","PROYECTADO")</x:f>
        <x:v>PROYECTADO</x:v>
      </x:c>
      <x:c r="C46" t="str">
        <x:v>TuClick</x:v>
      </x:c>
      <x:c r="D46" s="15" t="n">
        <x:f>IF($B46="REAL",SUMIFS(Carga_Reales!$C:$C,Carga_Reales!$A:$A,$A46,Carga_Reales!$B:$B,$C46),SUMIFS(Proyecciones!$C:$C,Proyecciones!$A:$A,$A46,Proyecciones!$B:$B,$C46))*IF($B46="REAL",1,IF(Resumen!$B$5="Conservador",Supuestos!$B$5,IF(Resumen!$B$5="Optimista",Supuestos!$B$7,Supuestos!$B$6)))</x:f>
        <x:v>68.262967032967</x:v>
      </x:c>
      <x:c r="E46" s="16" t="n">
        <x:f>IF($B46="REAL",SUMIFS(Carga_Reales!$D:$D,Carga_Reales!$A:$A,$A46,Carga_Reales!$B:$B,$C46),SUMIFS(Proyecciones!$D:$D,Proyecciones!$A:$A,$A46,Proyecciones!$B:$B,$C46))*IF($B46="REAL",1,IF(Resumen!$B$5="Conservador",Supuestos!$B$5,IF(Resumen!$B$5="Optimista",Supuestos!$B$7,Supuestos!$B$6))*IF(Resumen!$B$5="Conservador",Supuestos!$C$5,IF(Resumen!$B$5="Optimista",Supuestos!$C$7,Supuestos!$C$6)))</x:f>
        <x:v>476683507.150659</x:v>
      </x:c>
      <x:c r="F46" s="16" t="n">
        <x:f>IF($B46="REAL",SUMIFS(Carga_Reales!$E:$E,Carga_Reales!$A:$A,$A46,Carga_Reales!$B:$B,$C46),SUMIFS(Proyecciones!$E:$E,Proyecciones!$A:$A,$A46,Proyecciones!$B:$B,$C46))*IF($B46="REAL",1,IF(Resumen!$B$5="Conservador",Supuestos!$B$5,IF(Resumen!$B$5="Optimista",Supuestos!$B$7,Supuestos!$B$6))*IF(Resumen!$B$5="Conservador",Supuestos!$D$5,IF(Resumen!$B$5="Optimista",Supuestos!$D$7,Supuestos!$D$6)))</x:f>
        <x:v>407612066.964529</x:v>
      </x:c>
      <x:c r="G46" s="16" t="n">
        <x:f>IF($B46="REAL",SUMIFS(Carga_Reales!$F:$F,Carga_Reales!$A:$A,$A46,Carga_Reales!$B:$B,$C46),SUMIFS(Proyecciones!$F:$F,Proyecciones!$A:$A,$A46,Proyecciones!$B:$B,$C46))*IF($B46="REAL",1,IF(Resumen!$B$5="Conservador",Supuestos!$B$5,IF(Resumen!$B$5="Optimista",Supuestos!$B$7,Supuestos!$B$6)))</x:f>
        <x:v>15232881.0934066</x:v>
      </x:c>
      <x:c r="H46" s="16" t="n">
        <x:f>IF($B46="REAL",SUMIFS(Carga_Reales!$G:$G,Carga_Reales!$A:$A,$A46,Carga_Reales!$B:$B,$C46),SUMIFS(Proyecciones!$G:$G,Proyecciones!$A:$A,$A46,Proyecciones!$B:$B,$C46))*IF($B46="REAL",1,IF(Resumen!$B$5="Conservador",Supuestos!$B$5,IF(Resumen!$B$5="Optimista",Supuestos!$B$7,Supuestos!$B$6)))</x:f>
        <x:v>0</x:v>
      </x:c>
      <x:c r="I46" s="16" t="n">
        <x:f>IF($B46="REAL",SUMIFS(Carga_Reales!$H:$H,Carga_Reales!$A:$A,$A46,Carga_Reales!$B:$B,$C46),SUMIFS(Proyecciones!$H:$H,Proyecciones!$A:$A,$A46,Proyecciones!$B:$B,$C46))*IF($B46="REAL",1,IF(Resumen!$B$5="Conservador",Supuestos!$B$5,IF(Resumen!$B$5="Optimista",Supuestos!$B$7,Supuestos!$B$6)))</x:f>
        <x:v>0</x:v>
      </x:c>
      <x:c r="J46" s="16" t="n">
        <x:f>IF($B46="REAL",SUMIFS(Carga_Reales!$I:$I,Carga_Reales!$A:$A,$A46,Carga_Reales!$B:$B,$C46),SUMIFS(Proyecciones!$I:$I,Proyecciones!$A:$A,$A46,Proyecciones!$B:$B,$C46))*IF($B46="REAL",1,IF(Resumen!$B$5="Conservador",Supuestos!$B$5,IF(Resumen!$B$5="Optimista",Supuestos!$B$7,Supuestos!$B$6)))</x:f>
        <x:v>0</x:v>
      </x:c>
      <x:c r="K46" s="16" t="n">
        <x:f>IF($B46="REAL",SUMIFS(Carga_Reales!$J:$J,Carga_Reales!$A:$A,$A46,Carga_Reales!$B:$B,$C46),SUMIFS(Proyecciones!$J:$J,Proyecciones!$A:$A,$A46,Proyecciones!$B:$B,$C46))*IF($B46="REAL",1,IF(Resumen!$B$5="Conservador",Supuestos!$B$5,IF(Resumen!$B$5="Optimista",Supuestos!$B$7,Supuestos!$B$6)))</x:f>
        <x:v>0</x:v>
      </x:c>
      <x:c r="L46" s="16" t="n">
        <x:f>IF($B46="REAL",SUMIFS(Carga_Reales!$K:$K,Carga_Reales!$A:$A,$A46,Carga_Reales!$B:$B,$C46),SUMIFS(Proyecciones!$K:$K,Proyecciones!$A:$A,$A46,Proyecciones!$B:$B,$C46))*IF($B46="REAL",1,IF(Resumen!$B$5="Conservador",Supuestos!$E$5,IF(Resumen!$B$5="Optimista",Supuestos!$E$7,Supuestos!$E$6)))</x:f>
        <x:v>31865823.5635883</x:v>
      </x:c>
      <x:c r="M46" s="16" t="n">
        <x:f>IF($B46="REAL",SUMIFS(Carga_Reales!$L:$L,Carga_Reales!$A:$A,$A46,Carga_Reales!$B:$B,$C46),SUMIFS(Proyecciones!$L:$L,Proyecciones!$A:$A,$A46,Proyecciones!$B:$B,$C46))*IF($B46="REAL",1,IF(Resumen!$B$5="Conservador",Supuestos!$E$5,IF(Resumen!$B$5="Optimista",Supuestos!$E$7,Supuestos!$E$6)))</x:f>
        <x:v>42400000</x:v>
      </x:c>
      <x:c r="N46" s="16" t="n">
        <x:f>E46+G46+H46+I46+J46+K46</x:f>
        <x:v>491916388.24406564</x:v>
      </x:c>
      <x:c r="O46" s="16" t="n">
        <x:f>E46-F46+G46+H46+I46+J46+K46-L46-M46</x:f>
        <x:v>10038497.71594835</x:v>
      </x:c>
      <x:c r="P46" s="16" t="n">
        <x:f>O46-IF($B46="REAL",SUMIFS(Carga_Reales!$M:$M,Carga_Reales!$A:$A,$A46,Carga_Reales!$B:$B,$C46),SUMIFS(Proyecciones!$M:$M,Proyecciones!$A:$A,$A46,Proyecciones!$B:$B,$C46))-IF($B46="REAL",SUMIFS(Carga_Reales!$N:$N,Carga_Reales!$A:$A,$A46,Carga_Reales!$B:$B,$C46),SUMIFS(Proyecciones!$N:$N,Proyecciones!$A:$A,$A46,Proyecciones!$B:$B,$C46))</x:f>
        <x:v>5225023.515366261</x:v>
      </x:c>
      <x:c r="Q46" s="16" t="n">
        <x:f>IF($B46="REAL",SUMIFS(Carga_Reales!$O:$O,Carga_Reales!$A:$A,$A46,Carga_Reales!$B:$B,$C46),SUMIFS(Proyecciones!$O:$O,Proyecciones!$A:$A,$A46,Proyecciones!$B:$B,$C46))</x:f>
        <x:v>0</x:v>
      </x:c>
      <x:c r="R46" s="16" t="n">
        <x:f>O46-Q46</x:f>
        <x:v>10038497.71594835</x:v>
      </x:c>
      <x:c r="S46" s="16" t="n">
        <x:f>E46-F46</x:f>
        <x:v>69071440.18613005</x:v>
      </x:c>
      <x:c r="T46" s="16" t="n">
        <x:f>L46+M46</x:f>
        <x:v>74265823.56358829</x:v>
      </x:c>
      <x:c r="U46" t="n">
        <x:f>IFERROR((L46+M46)/MAX(1,(S46+G46)/MAX(1,D46)),0)</x:f>
        <x:v>60.13458608826883</x:v>
      </x:c>
    </x:row>
    <x:row r="47">
      <x:c r="A47" s="26" t="n">
        <x:v>46447</x:v>
      </x:c>
      <x:c r="B47" t="str">
        <x:f>IF(EOMONTH($A47,0)&lt;=Resumen!$B$4,"REAL","PROYECTADO")</x:f>
        <x:v>PROYECTADO</x:v>
      </x:c>
      <x:c r="C47" t="str">
        <x:v>Moto para Todos</x:v>
      </x:c>
      <x:c r="D47" s="15" t="n">
        <x:f>IF($B47="REAL",SUMIFS(Carga_Reales!$C:$C,Carga_Reales!$A:$A,$A47,Carga_Reales!$B:$B,$C47),SUMIFS(Proyecciones!$C:$C,Proyecciones!$A:$A,$A47,Proyecciones!$B:$B,$C47))*IF($B47="REAL",1,IF(Resumen!$B$5="Conservador",Supuestos!$B$5,IF(Resumen!$B$5="Optimista",Supuestos!$B$7,Supuestos!$B$6)))</x:f>
        <x:v>174.690036630037</x:v>
      </x:c>
      <x:c r="E47" s="16" t="n">
        <x:f>IF($B47="REAL",SUMIFS(Carga_Reales!$D:$D,Carga_Reales!$A:$A,$A47,Carga_Reales!$B:$B,$C47),SUMIFS(Proyecciones!$D:$D,Proyecciones!$A:$A,$A47,Proyecciones!$B:$B,$C47))*IF($B47="REAL",1,IF(Resumen!$B$5="Conservador",Supuestos!$B$5,IF(Resumen!$B$5="Optimista",Supuestos!$B$7,Supuestos!$B$6))*IF(Resumen!$B$5="Conservador",Supuestos!$C$5,IF(Resumen!$B$5="Optimista",Supuestos!$C$7,Supuestos!$C$6)))</x:f>
        <x:v>996076998.783297</x:v>
      </x:c>
      <x:c r="F47" s="16" t="n">
        <x:f>IF($B47="REAL",SUMIFS(Carga_Reales!$E:$E,Carga_Reales!$A:$A,$A47,Carga_Reales!$B:$B,$C47),SUMIFS(Proyecciones!$E:$E,Proyecciones!$A:$A,$A47,Proyecciones!$B:$B,$C47))*IF($B47="REAL",1,IF(Resumen!$B$5="Conservador",Supuestos!$B$5,IF(Resumen!$B$5="Optimista",Supuestos!$B$7,Supuestos!$B$6))*IF(Resumen!$B$5="Conservador",Supuestos!$D$5,IF(Resumen!$B$5="Optimista",Supuestos!$D$7,Supuestos!$D$6)))</x:f>
        <x:v>820867054.697315</x:v>
      </x:c>
      <x:c r="G47" s="16" t="n">
        <x:f>IF($B47="REAL",SUMIFS(Carga_Reales!$F:$F,Carga_Reales!$A:$A,$A47,Carga_Reales!$B:$B,$C47),SUMIFS(Proyecciones!$F:$F,Proyecciones!$A:$A,$A47,Proyecciones!$B:$B,$C47))*IF($B47="REAL",1,IF(Resumen!$B$5="Conservador",Supuestos!$B$5,IF(Resumen!$B$5="Optimista",Supuestos!$B$7,Supuestos!$B$6)))</x:f>
        <x:v>29697306.2271062</x:v>
      </x:c>
      <x:c r="H47" s="16" t="n">
        <x:f>IF($B47="REAL",SUMIFS(Carga_Reales!$G:$G,Carga_Reales!$A:$A,$A47,Carga_Reales!$B:$B,$C47),SUMIFS(Proyecciones!$G:$G,Proyecciones!$A:$A,$A47,Proyecciones!$B:$B,$C47))*IF($B47="REAL",1,IF(Resumen!$B$5="Conservador",Supuestos!$B$5,IF(Resumen!$B$5="Optimista",Supuestos!$B$7,Supuestos!$B$6)))</x:f>
        <x:v>0</x:v>
      </x:c>
      <x:c r="I47" s="16" t="n">
        <x:f>IF($B47="REAL",SUMIFS(Carga_Reales!$H:$H,Carga_Reales!$A:$A,$A47,Carga_Reales!$B:$B,$C47),SUMIFS(Proyecciones!$H:$H,Proyecciones!$A:$A,$A47,Proyecciones!$B:$B,$C47))*IF($B47="REAL",1,IF(Resumen!$B$5="Conservador",Supuestos!$B$5,IF(Resumen!$B$5="Optimista",Supuestos!$B$7,Supuestos!$B$6)))</x:f>
        <x:v>0</x:v>
      </x:c>
      <x:c r="J47" s="16" t="n">
        <x:f>IF($B47="REAL",SUMIFS(Carga_Reales!$I:$I,Carga_Reales!$A:$A,$A47,Carga_Reales!$B:$B,$C47),SUMIFS(Proyecciones!$I:$I,Proyecciones!$A:$A,$A47,Proyecciones!$B:$B,$C47))*IF($B47="REAL",1,IF(Resumen!$B$5="Conservador",Supuestos!$B$5,IF(Resumen!$B$5="Optimista",Supuestos!$B$7,Supuestos!$B$6)))</x:f>
        <x:v>0</x:v>
      </x:c>
      <x:c r="K47" s="16" t="n">
        <x:f>IF($B47="REAL",SUMIFS(Carga_Reales!$J:$J,Carga_Reales!$A:$A,$A47,Carga_Reales!$B:$B,$C47),SUMIFS(Proyecciones!$J:$J,Proyecciones!$A:$A,$A47,Proyecciones!$B:$B,$C47))*IF($B47="REAL",1,IF(Resumen!$B$5="Conservador",Supuestos!$B$5,IF(Resumen!$B$5="Optimista",Supuestos!$B$7,Supuestos!$B$6)))</x:f>
        <x:v>36330270.1551349</x:v>
      </x:c>
      <x:c r="L47" s="16" t="n">
        <x:f>IF($B47="REAL",SUMIFS(Carga_Reales!$K:$K,Carga_Reales!$A:$A,$A47,Carga_Reales!$B:$B,$C47),SUMIFS(Proyecciones!$K:$K,Proyecciones!$A:$A,$A47,Proyecciones!$B:$B,$C47))*IF($B47="REAL",1,IF(Resumen!$B$5="Conservador",Supuestos!$E$5,IF(Resumen!$B$5="Optimista",Supuestos!$E$7,Supuestos!$E$6)))</x:f>
        <x:v>90774371.830064</x:v>
      </x:c>
      <x:c r="M47" s="16" t="n">
        <x:f>IF($B47="REAL",SUMIFS(Carga_Reales!$L:$L,Carga_Reales!$A:$A,$A47,Carga_Reales!$B:$B,$C47),SUMIFS(Proyecciones!$L:$L,Proyecciones!$A:$A,$A47,Proyecciones!$B:$B,$C47))*IF($B47="REAL",1,IF(Resumen!$B$5="Conservador",Supuestos!$E$5,IF(Resumen!$B$5="Optimista",Supuestos!$E$7,Supuestos!$E$6)))</x:f>
        <x:v>51304000</x:v>
      </x:c>
      <x:c r="N47" s="16" t="n">
        <x:f>E47+G47+H47+I47+J47+K47</x:f>
        <x:v>1062104575.1655381</x:v>
      </x:c>
      <x:c r="O47" s="16" t="n">
        <x:f>E47-F47+G47+H47+I47+J47+K47-L47-M47</x:f>
        <x:v>99159148.6381591</x:v>
      </x:c>
      <x:c r="P47" s="16" t="n">
        <x:f>O47-IF($B47="REAL",SUMIFS(Carga_Reales!$M:$M,Carga_Reales!$A:$A,$A47,Carga_Reales!$B:$B,$C47),SUMIFS(Proyecciones!$M:$M,Proyecciones!$A:$A,$A47,Proyecciones!$B:$B,$C47))-IF($B47="REAL",SUMIFS(Carga_Reales!$N:$N,Carga_Reales!$A:$A,$A47,Carga_Reales!$B:$B,$C47),SUMIFS(Proyecciones!$N:$N,Proyecciones!$A:$A,$A47,Proyecciones!$B:$B,$C47))</x:f>
        <x:v>61853446.61480349</x:v>
      </x:c>
      <x:c r="Q47" s="16" t="n">
        <x:f>IF($B47="REAL",SUMIFS(Carga_Reales!$O:$O,Carga_Reales!$A:$A,$A47,Carga_Reales!$B:$B,$C47),SUMIFS(Proyecciones!$O:$O,Proyecciones!$A:$A,$A47,Proyecciones!$B:$B,$C47))</x:f>
        <x:v>0</x:v>
      </x:c>
      <x:c r="R47" s="16" t="n">
        <x:f>O47-Q47</x:f>
        <x:v>99159148.6381591</x:v>
      </x:c>
      <x:c r="S47" s="16" t="n">
        <x:f>E47-F47</x:f>
        <x:v>175209944.08598197</x:v>
      </x:c>
      <x:c r="T47" s="16" t="n">
        <x:f>L47+M47</x:f>
        <x:v>142078371.830064</x:v>
      </x:c>
      <x:c r="U47" t="n">
        <x:f>IFERROR((L47+M47)/MAX(1,(S47+G47)/MAX(1,D47)),0)</x:f>
        <x:v>121.12639226482545</x:v>
      </x:c>
    </x:row>
    <x:row r="48">
      <x:c r="A48" s="26" t="n">
        <x:v>46447</x:v>
      </x:c>
      <x:c r="B48" t="str">
        <x:f>IF(EOMONTH($A48,0)&lt;=Resumen!$B$4,"REAL","PROYECTADO")</x:f>
        <x:v>PROYECTADO</x:v>
      </x:c>
      <x:c r="C48" t="str">
        <x:v>Verificarte</x:v>
      </x:c>
      <x:c r="D48" s="15" t="n">
        <x:f>IF($B48="REAL",SUMIFS(Carga_Reales!$C:$C,Carga_Reales!$A:$A,$A48,Carga_Reales!$B:$B,$C48),SUMIFS(Proyecciones!$C:$C,Proyecciones!$A:$A,$A48,Proyecciones!$B:$B,$C48))*IF($B48="REAL",1,IF(Resumen!$B$5="Conservador",Supuestos!$B$5,IF(Resumen!$B$5="Optimista",Supuestos!$B$7,Supuestos!$B$6)))</x:f>
        <x:v>181.933282051282</x:v>
      </x:c>
      <x:c r="E48" s="16" t="n">
        <x:f>IF($B48="REAL",SUMIFS(Carga_Reales!$D:$D,Carga_Reales!$A:$A,$A48,Carga_Reales!$B:$B,$C48),SUMIFS(Proyecciones!$D:$D,Proyecciones!$A:$A,$A48,Proyecciones!$B:$B,$C48))*IF($B48="REAL",1,IF(Resumen!$B$5="Conservador",Supuestos!$B$5,IF(Resumen!$B$5="Optimista",Supuestos!$B$7,Supuestos!$B$6))*IF(Resumen!$B$5="Conservador",Supuestos!$C$5,IF(Resumen!$B$5="Optimista",Supuestos!$C$7,Supuestos!$C$6)))</x:f>
        <x:v>1696994150.1301</x:v>
      </x:c>
      <x:c r="F48" s="16" t="n">
        <x:f>IF($B48="REAL",SUMIFS(Carga_Reales!$E:$E,Carga_Reales!$A:$A,$A48,Carga_Reales!$B:$B,$C48),SUMIFS(Proyecciones!$E:$E,Proyecciones!$A:$A,$A48,Proyecciones!$B:$B,$C48))*IF($B48="REAL",1,IF(Resumen!$B$5="Conservador",Supuestos!$B$5,IF(Resumen!$B$5="Optimista",Supuestos!$B$7,Supuestos!$B$6))*IF(Resumen!$B$5="Conservador",Supuestos!$D$5,IF(Resumen!$B$5="Optimista",Supuestos!$D$7,Supuestos!$D$6)))</x:f>
        <x:v>1416990115.35864</x:v>
      </x:c>
      <x:c r="G48" s="16" t="n">
        <x:f>IF($B48="REAL",SUMIFS(Carga_Reales!$F:$F,Carga_Reales!$A:$A,$A48,Carga_Reales!$B:$B,$C48),SUMIFS(Proyecciones!$F:$F,Proyecciones!$A:$A,$A48,Proyecciones!$B:$B,$C48))*IF($B48="REAL",1,IF(Resumen!$B$5="Conservador",Supuestos!$B$5,IF(Resumen!$B$5="Optimista",Supuestos!$B$7,Supuestos!$B$6)))</x:f>
        <x:v>22887206.8820513</x:v>
      </x:c>
      <x:c r="H48" s="16" t="n">
        <x:f>IF($B48="REAL",SUMIFS(Carga_Reales!$G:$G,Carga_Reales!$A:$A,$A48,Carga_Reales!$B:$B,$C48),SUMIFS(Proyecciones!$G:$G,Proyecciones!$A:$A,$A48,Proyecciones!$B:$B,$C48))*IF($B48="REAL",1,IF(Resumen!$B$5="Conservador",Supuestos!$B$5,IF(Resumen!$B$5="Optimista",Supuestos!$B$7,Supuestos!$B$6)))</x:f>
        <x:v>0</x:v>
      </x:c>
      <x:c r="I48" s="16" t="n">
        <x:f>IF($B48="REAL",SUMIFS(Carga_Reales!$H:$H,Carga_Reales!$A:$A,$A48,Carga_Reales!$B:$B,$C48),SUMIFS(Proyecciones!$H:$H,Proyecciones!$A:$A,$A48,Proyecciones!$B:$B,$C48))*IF($B48="REAL",1,IF(Resumen!$B$5="Conservador",Supuestos!$B$5,IF(Resumen!$B$5="Optimista",Supuestos!$B$7,Supuestos!$B$6)))</x:f>
        <x:v>0</x:v>
      </x:c>
      <x:c r="J48" s="16" t="n">
        <x:f>IF($B48="REAL",SUMIFS(Carga_Reales!$I:$I,Carga_Reales!$A:$A,$A48,Carga_Reales!$B:$B,$C48),SUMIFS(Proyecciones!$I:$I,Proyecciones!$A:$A,$A48,Proyecciones!$B:$B,$C48))*IF($B48="REAL",1,IF(Resumen!$B$5="Conservador",Supuestos!$B$5,IF(Resumen!$B$5="Optimista",Supuestos!$B$7,Supuestos!$B$6)))</x:f>
        <x:v>0</x:v>
      </x:c>
      <x:c r="K48" s="16" t="n">
        <x:f>IF($B48="REAL",SUMIFS(Carga_Reales!$J:$J,Carga_Reales!$A:$A,$A48,Carga_Reales!$B:$B,$C48),SUMIFS(Proyecciones!$J:$J,Proyecciones!$A:$A,$A48,Proyecciones!$B:$B,$C48))*IF($B48="REAL",1,IF(Resumen!$B$5="Conservador",Supuestos!$B$5,IF(Resumen!$B$5="Optimista",Supuestos!$B$7,Supuestos!$B$6)))</x:f>
        <x:v>0</x:v>
      </x:c>
      <x:c r="L48" s="16" t="n">
        <x:f>IF($B48="REAL",SUMIFS(Carga_Reales!$K:$K,Carga_Reales!$A:$A,$A48,Carga_Reales!$B:$B,$C48),SUMIFS(Proyecciones!$K:$K,Proyecciones!$A:$A,$A48,Proyecciones!$B:$B,$C48))*IF($B48="REAL",1,IF(Resumen!$B$5="Conservador",Supuestos!$E$5,IF(Resumen!$B$5="Optimista",Supuestos!$E$7,Supuestos!$E$6)))</x:f>
        <x:v>73089161.6281478</x:v>
      </x:c>
      <x:c r="M48" s="16" t="n">
        <x:f>IF($B48="REAL",SUMIFS(Carga_Reales!$L:$L,Carga_Reales!$A:$A,$A48,Carga_Reales!$B:$B,$C48),SUMIFS(Proyecciones!$L:$L,Proyecciones!$A:$A,$A48,Proyecciones!$B:$B,$C48))*IF($B48="REAL",1,IF(Resumen!$B$5="Conservador",Supuestos!$E$5,IF(Resumen!$B$5="Optimista",Supuestos!$E$7,Supuestos!$E$6)))</x:f>
        <x:v>75260000</x:v>
      </x:c>
      <x:c r="N48" s="16" t="n">
        <x:f>E48+G48+H48+I48+J48+K48</x:f>
        <x:v>1719881357.0121512</x:v>
      </x:c>
      <x:c r="O48" s="16" t="n">
        <x:f>E48-F48+G48+H48+I48+J48+K48-L48-M48</x:f>
        <x:v>154542080.02536356</x:v>
      </x:c>
      <x:c r="P48" s="16" t="n">
        <x:f>O48-IF($B48="REAL",SUMIFS(Carga_Reales!$M:$M,Carga_Reales!$A:$A,$A48,Carga_Reales!$B:$B,$C48),SUMIFS(Proyecciones!$M:$M,Proyecciones!$A:$A,$A48,Proyecciones!$B:$B,$C48))-IF($B48="REAL",SUMIFS(Carga_Reales!$N:$N,Carga_Reales!$A:$A,$A48,Carga_Reales!$B:$B,$C48),SUMIFS(Proyecciones!$N:$N,Proyecciones!$A:$A,$A48,Proyecciones!$B:$B,$C48))</x:f>
        <x:v>97852352.01648387</x:v>
      </x:c>
      <x:c r="Q48" s="16" t="n">
        <x:f>IF($B48="REAL",SUMIFS(Carga_Reales!$O:$O,Carga_Reales!$A:$A,$A48,Carga_Reales!$B:$B,$C48),SUMIFS(Proyecciones!$O:$O,Proyecciones!$A:$A,$A48,Proyecciones!$B:$B,$C48))</x:f>
        <x:v>0</x:v>
      </x:c>
      <x:c r="R48" s="16" t="n">
        <x:f>O48-Q48</x:f>
        <x:v>154542080.02536356</x:v>
      </x:c>
      <x:c r="S48" s="16" t="n">
        <x:f>E48-F48</x:f>
        <x:v>280004034.77146006</x:v>
      </x:c>
      <x:c r="T48" s="16" t="n">
        <x:f>L48+M48</x:f>
        <x:v>148349161.62814778</x:v>
      </x:c>
      <x:c r="U48" t="n">
        <x:f>IFERROR((L48+M48)/MAX(1,(S48+G48)/MAX(1,D48)),0)</x:f>
        <x:v>89.10673586078632</x:v>
      </x:c>
    </x:row>
    <x:row r="49">
      <x:c r="A49" s="26" t="n">
        <x:v>46447</x:v>
      </x:c>
      <x:c r="B49" t="str">
        <x:f>IF(EOMONTH($A49,0)&lt;=Resumen!$B$4,"REAL","PROYECTADO")</x:f>
        <x:v>PROYECTADO</x:v>
      </x:c>
      <x:c r="C49" t="str">
        <x:v>TuClick</x:v>
      </x:c>
      <x:c r="D49" s="15" t="n">
        <x:f>IF($B49="REAL",SUMIFS(Carga_Reales!$C:$C,Carga_Reales!$A:$A,$A49,Carga_Reales!$B:$B,$C49),SUMIFS(Proyecciones!$C:$C,Proyecciones!$A:$A,$A49,Proyecciones!$B:$B,$C49))*IF($B49="REAL",1,IF(Resumen!$B$5="Conservador",Supuestos!$B$5,IF(Resumen!$B$5="Optimista",Supuestos!$B$7,Supuestos!$B$6)))</x:f>
        <x:v>69.4499413919414</x:v>
      </x:c>
      <x:c r="E49" s="16" t="n">
        <x:f>IF($B49="REAL",SUMIFS(Carga_Reales!$D:$D,Carga_Reales!$A:$A,$A49,Carga_Reales!$B:$B,$C49),SUMIFS(Proyecciones!$D:$D,Proyecciones!$A:$A,$A49,Proyecciones!$B:$B,$C49))*IF($B49="REAL",1,IF(Resumen!$B$5="Conservador",Supuestos!$B$5,IF(Resumen!$B$5="Optimista",Supuestos!$B$7,Supuestos!$B$6))*IF(Resumen!$B$5="Conservador",Supuestos!$C$5,IF(Resumen!$B$5="Optimista",Supuestos!$C$7,Supuestos!$C$6)))</x:f>
        <x:v>484972204.887172</x:v>
      </x:c>
      <x:c r="F49" s="16" t="n">
        <x:f>IF($B49="REAL",SUMIFS(Carga_Reales!$E:$E,Carga_Reales!$A:$A,$A49,Carga_Reales!$B:$B,$C49),SUMIFS(Proyecciones!$E:$E,Proyecciones!$A:$A,$A49,Proyecciones!$B:$B,$C49))*IF($B49="REAL",1,IF(Resumen!$B$5="Conservador",Supuestos!$B$5,IF(Resumen!$B$5="Optimista",Supuestos!$B$7,Supuestos!$B$6))*IF(Resumen!$B$5="Conservador",Supuestos!$D$5,IF(Resumen!$B$5="Optimista",Supuestos!$D$7,Supuestos!$D$6)))</x:f>
        <x:v>414699732.399021</x:v>
      </x:c>
      <x:c r="G49" s="16" t="n">
        <x:f>IF($B49="REAL",SUMIFS(Carga_Reales!$F:$F,Carga_Reales!$A:$A,$A49,Carga_Reales!$B:$B,$C49),SUMIFS(Proyecciones!$F:$F,Proyecciones!$A:$A,$A49,Proyecciones!$B:$B,$C49))*IF($B49="REAL",1,IF(Resumen!$B$5="Conservador",Supuestos!$B$5,IF(Resumen!$B$5="Optimista",Supuestos!$B$7,Supuestos!$B$6)))</x:f>
        <x:v>15497754.4216117</x:v>
      </x:c>
      <x:c r="H49" s="16" t="n">
        <x:f>IF($B49="REAL",SUMIFS(Carga_Reales!$G:$G,Carga_Reales!$A:$A,$A49,Carga_Reales!$B:$B,$C49),SUMIFS(Proyecciones!$G:$G,Proyecciones!$A:$A,$A49,Proyecciones!$B:$B,$C49))*IF($B49="REAL",1,IF(Resumen!$B$5="Conservador",Supuestos!$B$5,IF(Resumen!$B$5="Optimista",Supuestos!$B$7,Supuestos!$B$6)))</x:f>
        <x:v>0</x:v>
      </x:c>
      <x:c r="I49" s="16" t="n">
        <x:f>IF($B49="REAL",SUMIFS(Carga_Reales!$H:$H,Carga_Reales!$A:$A,$A49,Carga_Reales!$B:$B,$C49),SUMIFS(Proyecciones!$H:$H,Proyecciones!$A:$A,$A49,Proyecciones!$B:$B,$C49))*IF($B49="REAL",1,IF(Resumen!$B$5="Conservador",Supuestos!$B$5,IF(Resumen!$B$5="Optimista",Supuestos!$B$7,Supuestos!$B$6)))</x:f>
        <x:v>0</x:v>
      </x:c>
      <x:c r="J49" s="16" t="n">
        <x:f>IF($B49="REAL",SUMIFS(Carga_Reales!$I:$I,Carga_Reales!$A:$A,$A49,Carga_Reales!$B:$B,$C49),SUMIFS(Proyecciones!$I:$I,Proyecciones!$A:$A,$A49,Proyecciones!$B:$B,$C49))*IF($B49="REAL",1,IF(Resumen!$B$5="Conservador",Supuestos!$B$5,IF(Resumen!$B$5="Optimista",Supuestos!$B$7,Supuestos!$B$6)))</x:f>
        <x:v>0</x:v>
      </x:c>
      <x:c r="K49" s="16" t="n">
        <x:f>IF($B49="REAL",SUMIFS(Carga_Reales!$J:$J,Carga_Reales!$A:$A,$A49,Carga_Reales!$B:$B,$C49),SUMIFS(Proyecciones!$J:$J,Proyecciones!$A:$A,$A49,Proyecciones!$B:$B,$C49))*IF($B49="REAL",1,IF(Resumen!$B$5="Conservador",Supuestos!$B$5,IF(Resumen!$B$5="Optimista",Supuestos!$B$7,Supuestos!$B$6)))</x:f>
        <x:v>0</x:v>
      </x:c>
      <x:c r="L49" s="16" t="n">
        <x:f>IF($B49="REAL",SUMIFS(Carga_Reales!$K:$K,Carga_Reales!$A:$A,$A49,Carga_Reales!$B:$B,$C49),SUMIFS(Proyecciones!$K:$K,Proyecciones!$A:$A,$A49,Proyecciones!$B:$B,$C49))*IF($B49="REAL",1,IF(Resumen!$B$5="Conservador",Supuestos!$E$5,IF(Resumen!$B$5="Optimista",Supuestos!$E$7,Supuestos!$E$6)))</x:f>
        <x:v>31865823.5635883</x:v>
      </x:c>
      <x:c r="M49" s="16" t="n">
        <x:f>IF($B49="REAL",SUMIFS(Carga_Reales!$L:$L,Carga_Reales!$A:$A,$A49,Carga_Reales!$B:$B,$C49),SUMIFS(Proyecciones!$L:$L,Proyecciones!$A:$A,$A49,Proyecciones!$B:$B,$C49))*IF($B49="REAL",1,IF(Resumen!$B$5="Conservador",Supuestos!$E$5,IF(Resumen!$B$5="Optimista",Supuestos!$E$7,Supuestos!$E$6)))</x:f>
        <x:v>42400000</x:v>
      </x:c>
      <x:c r="N49" s="16" t="n">
        <x:f>E49+G49+H49+I49+J49+K49</x:f>
        <x:v>500469959.3087837</x:v>
      </x:c>
      <x:c r="O49" s="16" t="n">
        <x:f>E49-F49+G49+H49+I49+J49+K49-L49-M49</x:f>
        <x:v>11504403.346174352</x:v>
      </x:c>
      <x:c r="P49" s="16" t="n">
        <x:f>O49-IF($B49="REAL",SUMIFS(Carga_Reales!$M:$M,Carga_Reales!$A:$A,$A49,Carga_Reales!$B:$B,$C49),SUMIFS(Proyecciones!$M:$M,Proyecciones!$A:$A,$A49,Proyecciones!$B:$B,$C49))-IF($B49="REAL",SUMIFS(Carga_Reales!$N:$N,Carga_Reales!$A:$A,$A49,Carga_Reales!$B:$B,$C49),SUMIFS(Proyecciones!$N:$N,Proyecciones!$A:$A,$A49,Proyecciones!$B:$B,$C49))</x:f>
        <x:v>6177862.175013201</x:v>
      </x:c>
      <x:c r="Q49" s="16" t="n">
        <x:f>IF($B49="REAL",SUMIFS(Carga_Reales!$O:$O,Carga_Reales!$A:$A,$A49,Carga_Reales!$B:$B,$C49),SUMIFS(Proyecciones!$O:$O,Proyecciones!$A:$A,$A49,Proyecciones!$B:$B,$C49))</x:f>
        <x:v>0</x:v>
      </x:c>
      <x:c r="R49" s="16" t="n">
        <x:f>O49-Q49</x:f>
        <x:v>11504403.346174352</x:v>
      </x:c>
      <x:c r="S49" s="16" t="n">
        <x:f>E49-F49</x:f>
        <x:v>70272472.48815095</x:v>
      </x:c>
      <x:c r="T49" s="16" t="n">
        <x:f>L49+M49</x:f>
        <x:v>74265823.56358829</x:v>
      </x:c>
      <x:c r="U49" t="n">
        <x:f>IFERROR((L49+M49)/MAX(1,(S49+G49)/MAX(1,D49)),0)</x:f>
        <x:v>60.134586088268755</x:v>
      </x:c>
    </x:row>
    <x:row r="50">
      <x:c r="A50" s="26" t="n">
        <x:v>46478</x:v>
      </x:c>
      <x:c r="B50" t="str">
        <x:f>IF(EOMONTH($A50,0)&lt;=Resumen!$B$4,"REAL","PROYECTADO")</x:f>
        <x:v>PROYECTADO</x:v>
      </x:c>
      <x:c r="C50" t="str">
        <x:v>Moto para Todos</x:v>
      </x:c>
      <x:c r="D50" s="15" t="n">
        <x:f>IF($B50="REAL",SUMIFS(Carga_Reales!$C:$C,Carga_Reales!$A:$A,$A50,Carga_Reales!$B:$B,$C50),SUMIFS(Proyecciones!$C:$C,Proyecciones!$A:$A,$A50,Proyecciones!$B:$B,$C50))*IF($B50="REAL",1,IF(Resumen!$B$5="Conservador",Supuestos!$B$5,IF(Resumen!$B$5="Optimista",Supuestos!$B$7,Supuestos!$B$6)))</x:f>
        <x:v>177.995567765568</x:v>
      </x:c>
      <x:c r="E50" s="16" t="n">
        <x:f>IF($B50="REAL",SUMIFS(Carga_Reales!$D:$D,Carga_Reales!$A:$A,$A50,Carga_Reales!$B:$B,$C50),SUMIFS(Proyecciones!$D:$D,Proyecciones!$A:$A,$A50,Proyecciones!$B:$B,$C50))*IF($B50="REAL",1,IF(Resumen!$B$5="Conservador",Supuestos!$B$5,IF(Resumen!$B$5="Optimista",Supuestos!$B$7,Supuestos!$B$6))*IF(Resumen!$B$5="Conservador",Supuestos!$C$5,IF(Resumen!$B$5="Optimista",Supuestos!$C$7,Supuestos!$C$6)))</x:f>
        <x:v>1014925031.5411</x:v>
      </x:c>
      <x:c r="F50" s="16" t="n">
        <x:f>IF($B50="REAL",SUMIFS(Carga_Reales!$E:$E,Carga_Reales!$A:$A,$A50,Carga_Reales!$B:$B,$C50),SUMIFS(Proyecciones!$E:$E,Proyecciones!$A:$A,$A50,Proyecciones!$B:$B,$C50))*IF($B50="REAL",1,IF(Resumen!$B$5="Conservador",Supuestos!$B$5,IF(Resumen!$B$5="Optimista",Supuestos!$B$7,Supuestos!$B$6))*IF(Resumen!$B$5="Conservador",Supuestos!$D$5,IF(Resumen!$B$5="Optimista",Supuestos!$D$7,Supuestos!$D$6)))</x:f>
        <x:v>836399718.49302</x:v>
      </x:c>
      <x:c r="G50" s="16" t="n">
        <x:f>IF($B50="REAL",SUMIFS(Carga_Reales!$F:$F,Carga_Reales!$A:$A,$A50,Carga_Reales!$B:$B,$C50),SUMIFS(Proyecciones!$F:$F,Proyecciones!$A:$A,$A50,Proyecciones!$B:$B,$C50))*IF($B50="REAL",1,IF(Resumen!$B$5="Conservador",Supuestos!$B$5,IF(Resumen!$B$5="Optimista",Supuestos!$B$7,Supuestos!$B$6)))</x:f>
        <x:v>30259246.5201465</x:v>
      </x:c>
      <x:c r="H50" s="16" t="n">
        <x:f>IF($B50="REAL",SUMIFS(Carga_Reales!$G:$G,Carga_Reales!$A:$A,$A50,Carga_Reales!$B:$B,$C50),SUMIFS(Proyecciones!$G:$G,Proyecciones!$A:$A,$A50,Proyecciones!$B:$B,$C50))*IF($B50="REAL",1,IF(Resumen!$B$5="Conservador",Supuestos!$B$5,IF(Resumen!$B$5="Optimista",Supuestos!$B$7,Supuestos!$B$6)))</x:f>
        <x:v>0</x:v>
      </x:c>
      <x:c r="I50" s="16" t="n">
        <x:f>IF($B50="REAL",SUMIFS(Carga_Reales!$H:$H,Carga_Reales!$A:$A,$A50,Carga_Reales!$B:$B,$C50),SUMIFS(Proyecciones!$H:$H,Proyecciones!$A:$A,$A50,Proyecciones!$B:$B,$C50))*IF($B50="REAL",1,IF(Resumen!$B$5="Conservador",Supuestos!$B$5,IF(Resumen!$B$5="Optimista",Supuestos!$B$7,Supuestos!$B$6)))</x:f>
        <x:v>0</x:v>
      </x:c>
      <x:c r="J50" s="16" t="n">
        <x:f>IF($B50="REAL",SUMIFS(Carga_Reales!$I:$I,Carga_Reales!$A:$A,$A50,Carga_Reales!$B:$B,$C50),SUMIFS(Proyecciones!$I:$I,Proyecciones!$A:$A,$A50,Proyecciones!$B:$B,$C50))*IF($B50="REAL",1,IF(Resumen!$B$5="Conservador",Supuestos!$B$5,IF(Resumen!$B$5="Optimista",Supuestos!$B$7,Supuestos!$B$6)))</x:f>
        <x:v>0</x:v>
      </x:c>
      <x:c r="K50" s="16" t="n">
        <x:f>IF($B50="REAL",SUMIFS(Carga_Reales!$J:$J,Carga_Reales!$A:$A,$A50,Carga_Reales!$B:$B,$C50),SUMIFS(Proyecciones!$J:$J,Proyecciones!$A:$A,$A50,Proyecciones!$B:$B,$C50))*IF($B50="REAL",1,IF(Resumen!$B$5="Conservador",Supuestos!$B$5,IF(Resumen!$B$5="Optimista",Supuestos!$B$7,Supuestos!$B$6)))</x:f>
        <x:v>40898526.8107589</x:v>
      </x:c>
      <x:c r="L50" s="16" t="n">
        <x:f>IF($B50="REAL",SUMIFS(Carga_Reales!$K:$K,Carga_Reales!$A:$A,$A50,Carga_Reales!$B:$B,$C50),SUMIFS(Proyecciones!$K:$K,Proyecciones!$A:$A,$A50,Proyecciones!$B:$B,$C50))*IF($B50="REAL",1,IF(Resumen!$B$5="Conservador",Supuestos!$E$5,IF(Resumen!$B$5="Optimista",Supuestos!$E$7,Supuestos!$E$6)))</x:f>
        <x:v>90774371.830064</x:v>
      </x:c>
      <x:c r="M50" s="16" t="n">
        <x:f>IF($B50="REAL",SUMIFS(Carga_Reales!$L:$L,Carga_Reales!$A:$A,$A50,Carga_Reales!$B:$B,$C50),SUMIFS(Proyecciones!$L:$L,Proyecciones!$A:$A,$A50,Proyecciones!$B:$B,$C50))*IF($B50="REAL",1,IF(Resumen!$B$5="Conservador",Supuestos!$E$5,IF(Resumen!$B$5="Optimista",Supuestos!$E$7,Supuestos!$E$6)))</x:f>
        <x:v>51304000</x:v>
      </x:c>
      <x:c r="N50" s="16" t="n">
        <x:f>E50+G50+H50+I50+J50+K50</x:f>
        <x:v>1086082804.8720055</x:v>
      </x:c>
      <x:c r="O50" s="16" t="n">
        <x:f>E50-F50+G50+H50+I50+J50+K50-L50-M50</x:f>
        <x:v>107604714.54892135</x:v>
      </x:c>
      <x:c r="P50" s="16" t="n">
        <x:f>O50-IF($B50="REAL",SUMIFS(Carga_Reales!$M:$M,Carga_Reales!$A:$A,$A50,Carga_Reales!$B:$B,$C50),SUMIFS(Proyecciones!$M:$M,Proyecciones!$A:$A,$A50,Proyecciones!$B:$B,$C50))-IF($B50="REAL",SUMIFS(Carga_Reales!$N:$N,Carga_Reales!$A:$A,$A50,Carga_Reales!$B:$B,$C50),SUMIFS(Proyecciones!$N:$N,Proyecciones!$A:$A,$A50,Proyecciones!$B:$B,$C50))</x:f>
        <x:v>67343064.45679915</x:v>
      </x:c>
      <x:c r="Q50" s="16" t="n">
        <x:f>IF($B50="REAL",SUMIFS(Carga_Reales!$O:$O,Carga_Reales!$A:$A,$A50,Carga_Reales!$B:$B,$C50),SUMIFS(Proyecciones!$O:$O,Proyecciones!$A:$A,$A50,Proyecciones!$B:$B,$C50))</x:f>
        <x:v>0</x:v>
      </x:c>
      <x:c r="R50" s="16" t="n">
        <x:f>O50-Q50</x:f>
        <x:v>107604714.54892135</x:v>
      </x:c>
      <x:c r="S50" s="16" t="n">
        <x:f>E50-F50</x:f>
        <x:v>178525313.04807997</x:v>
      </x:c>
      <x:c r="T50" s="16" t="n">
        <x:f>L50+M50</x:f>
        <x:v>142078371.830064</x:v>
      </x:c>
      <x:c r="U50" t="n">
        <x:f>IFERROR((L50+M50)/MAX(1,(S50+G50)/MAX(1,D50)),0)</x:f>
        <x:v>121.12639226482501</x:v>
      </x:c>
    </x:row>
    <x:row r="51">
      <x:c r="A51" s="26" t="n">
        <x:v>46478</x:v>
      </x:c>
      <x:c r="B51" t="str">
        <x:f>IF(EOMONTH($A51,0)&lt;=Resumen!$B$4,"REAL","PROYECTADO")</x:f>
        <x:v>PROYECTADO</x:v>
      </x:c>
      <x:c r="C51" t="str">
        <x:v>Verificarte</x:v>
      </x:c>
      <x:c r="D51" s="15" t="n">
        <x:f>IF($B51="REAL",SUMIFS(Carga_Reales!$C:$C,Carga_Reales!$A:$A,$A51,Carga_Reales!$B:$B,$C51),SUMIFS(Proyecciones!$C:$C,Proyecciones!$A:$A,$A51,Proyecciones!$B:$B,$C51))*IF($B51="REAL",1,IF(Resumen!$B$5="Conservador",Supuestos!$B$5,IF(Resumen!$B$5="Optimista",Supuestos!$B$7,Supuestos!$B$6)))</x:f>
        <x:v>185.375871794872</x:v>
      </x:c>
      <x:c r="E51" s="16" t="n">
        <x:f>IF($B51="REAL",SUMIFS(Carga_Reales!$D:$D,Carga_Reales!$A:$A,$A51,Carga_Reales!$B:$B,$C51),SUMIFS(Proyecciones!$D:$D,Proyecciones!$A:$A,$A51,Proyecciones!$B:$B,$C51))*IF($B51="REAL",1,IF(Resumen!$B$5="Conservador",Supuestos!$B$5,IF(Resumen!$B$5="Optimista",Supuestos!$B$7,Supuestos!$B$6))*IF(Resumen!$B$5="Conservador",Supuestos!$C$5,IF(Resumen!$B$5="Optimista",Supuestos!$C$7,Supuestos!$C$6)))</x:f>
        <x:v>1729105122.84659</x:v>
      </x:c>
      <x:c r="F51" s="16" t="n">
        <x:f>IF($B51="REAL",SUMIFS(Carga_Reales!$E:$E,Carga_Reales!$A:$A,$A51,Carga_Reales!$B:$B,$C51),SUMIFS(Proyecciones!$E:$E,Proyecciones!$A:$A,$A51,Proyecciones!$B:$B,$C51))*IF($B51="REAL",1,IF(Resumen!$B$5="Conservador",Supuestos!$B$5,IF(Resumen!$B$5="Optimista",Supuestos!$B$7,Supuestos!$B$6))*IF(Resumen!$B$5="Conservador",Supuestos!$D$5,IF(Resumen!$B$5="Optimista",Supuestos!$D$7,Supuestos!$D$6)))</x:f>
        <x:v>1443802777.5769</x:v>
      </x:c>
      <x:c r="G51" s="16" t="n">
        <x:f>IF($B51="REAL",SUMIFS(Carga_Reales!$F:$F,Carga_Reales!$A:$A,$A51,Carga_Reales!$B:$B,$C51),SUMIFS(Proyecciones!$F:$F,Proyecciones!$A:$A,$A51,Proyecciones!$B:$B,$C51))*IF($B51="REAL",1,IF(Resumen!$B$5="Conservador",Supuestos!$B$5,IF(Resumen!$B$5="Optimista",Supuestos!$B$7,Supuestos!$B$6)))</x:f>
        <x:v>23320284.6717949</x:v>
      </x:c>
      <x:c r="H51" s="16" t="n">
        <x:f>IF($B51="REAL",SUMIFS(Carga_Reales!$G:$G,Carga_Reales!$A:$A,$A51,Carga_Reales!$B:$B,$C51),SUMIFS(Proyecciones!$G:$G,Proyecciones!$A:$A,$A51,Proyecciones!$B:$B,$C51))*IF($B51="REAL",1,IF(Resumen!$B$5="Conservador",Supuestos!$B$5,IF(Resumen!$B$5="Optimista",Supuestos!$B$7,Supuestos!$B$6)))</x:f>
        <x:v>0</x:v>
      </x:c>
      <x:c r="I51" s="16" t="n">
        <x:f>IF($B51="REAL",SUMIFS(Carga_Reales!$H:$H,Carga_Reales!$A:$A,$A51,Carga_Reales!$B:$B,$C51),SUMIFS(Proyecciones!$H:$H,Proyecciones!$A:$A,$A51,Proyecciones!$B:$B,$C51))*IF($B51="REAL",1,IF(Resumen!$B$5="Conservador",Supuestos!$B$5,IF(Resumen!$B$5="Optimista",Supuestos!$B$7,Supuestos!$B$6)))</x:f>
        <x:v>0</x:v>
      </x:c>
      <x:c r="J51" s="16" t="n">
        <x:f>IF($B51="REAL",SUMIFS(Carga_Reales!$I:$I,Carga_Reales!$A:$A,$A51,Carga_Reales!$B:$B,$C51),SUMIFS(Proyecciones!$I:$I,Proyecciones!$A:$A,$A51,Proyecciones!$B:$B,$C51))*IF($B51="REAL",1,IF(Resumen!$B$5="Conservador",Supuestos!$B$5,IF(Resumen!$B$5="Optimista",Supuestos!$B$7,Supuestos!$B$6)))</x:f>
        <x:v>0</x:v>
      </x:c>
      <x:c r="K51" s="16" t="n">
        <x:f>IF($B51="REAL",SUMIFS(Carga_Reales!$J:$J,Carga_Reales!$A:$A,$A51,Carga_Reales!$B:$B,$C51),SUMIFS(Proyecciones!$J:$J,Proyecciones!$A:$A,$A51,Proyecciones!$B:$B,$C51))*IF($B51="REAL",1,IF(Resumen!$B$5="Conservador",Supuestos!$B$5,IF(Resumen!$B$5="Optimista",Supuestos!$B$7,Supuestos!$B$6)))</x:f>
        <x:v>0</x:v>
      </x:c>
      <x:c r="L51" s="16" t="n">
        <x:f>IF($B51="REAL",SUMIFS(Carga_Reales!$K:$K,Carga_Reales!$A:$A,$A51,Carga_Reales!$B:$B,$C51),SUMIFS(Proyecciones!$K:$K,Proyecciones!$A:$A,$A51,Proyecciones!$B:$B,$C51))*IF($B51="REAL",1,IF(Resumen!$B$5="Conservador",Supuestos!$E$5,IF(Resumen!$B$5="Optimista",Supuestos!$E$7,Supuestos!$E$6)))</x:f>
        <x:v>73089161.6281478</x:v>
      </x:c>
      <x:c r="M51" s="16" t="n">
        <x:f>IF($B51="REAL",SUMIFS(Carga_Reales!$L:$L,Carga_Reales!$A:$A,$A51,Carga_Reales!$B:$B,$C51),SUMIFS(Proyecciones!$L:$L,Proyecciones!$A:$A,$A51,Proyecciones!$B:$B,$C51))*IF($B51="REAL",1,IF(Resumen!$B$5="Conservador",Supuestos!$E$5,IF(Resumen!$B$5="Optimista",Supuestos!$E$7,Supuestos!$E$6)))</x:f>
        <x:v>75260000</x:v>
      </x:c>
      <x:c r="N51" s="16" t="n">
        <x:f>E51+G51+H51+I51+J51+K51</x:f>
        <x:v>1752425407.518385</x:v>
      </x:c>
      <x:c r="O51" s="16" t="n">
        <x:f>E51-F51+G51+H51+I51+J51+K51-L51-M51</x:f>
        <x:v>160273468.31333715</x:v>
      </x:c>
      <x:c r="P51" s="16" t="n">
        <x:f>O51-IF($B51="REAL",SUMIFS(Carga_Reales!$M:$M,Carga_Reales!$A:$A,$A51,Carga_Reales!$B:$B,$C51),SUMIFS(Proyecciones!$M:$M,Proyecciones!$A:$A,$A51,Proyecciones!$B:$B,$C51))-IF($B51="REAL",SUMIFS(Carga_Reales!$N:$N,Carga_Reales!$A:$A,$A51,Carga_Reales!$B:$B,$C51),SUMIFS(Proyecciones!$N:$N,Proyecciones!$A:$A,$A51,Proyecciones!$B:$B,$C51))</x:f>
        <x:v>101577754.40367004</x:v>
      </x:c>
      <x:c r="Q51" s="16" t="n">
        <x:f>IF($B51="REAL",SUMIFS(Carga_Reales!$O:$O,Carga_Reales!$A:$A,$A51,Carga_Reales!$B:$B,$C51),SUMIFS(Proyecciones!$O:$O,Proyecciones!$A:$A,$A51,Proyecciones!$B:$B,$C51))</x:f>
        <x:v>0</x:v>
      </x:c>
      <x:c r="R51" s="16" t="n">
        <x:f>O51-Q51</x:f>
        <x:v>160273468.31333715</x:v>
      </x:c>
      <x:c r="S51" s="16" t="n">
        <x:f>E51-F51</x:f>
        <x:v>285302345.26969004</x:v>
      </x:c>
      <x:c r="T51" s="16" t="n">
        <x:f>L51+M51</x:f>
        <x:v>148349161.62814778</x:v>
      </x:c>
      <x:c r="U51" t="n">
        <x:f>IFERROR((L51+M51)/MAX(1,(S51+G51)/MAX(1,D51)),0)</x:f>
        <x:v>89.10673586078363</x:v>
      </x:c>
    </x:row>
    <x:row r="52">
      <x:c r="A52" s="26" t="n">
        <x:v>46478</x:v>
      </x:c>
      <x:c r="B52" t="str">
        <x:f>IF(EOMONTH($A52,0)&lt;=Resumen!$B$4,"REAL","PROYECTADO")</x:f>
        <x:v>PROYECTADO</x:v>
      </x:c>
      <x:c r="C52" t="str">
        <x:v>TuClick</x:v>
      </x:c>
      <x:c r="D52" s="15" t="n">
        <x:f>IF($B52="REAL",SUMIFS(Carga_Reales!$C:$C,Carga_Reales!$A:$A,$A52,Carga_Reales!$B:$B,$C52),SUMIFS(Proyecciones!$C:$C,Proyecciones!$A:$A,$A52,Proyecciones!$B:$B,$C52))*IF($B52="REAL",1,IF(Resumen!$B$5="Conservador",Supuestos!$B$5,IF(Resumen!$B$5="Optimista",Supuestos!$B$7,Supuestos!$B$6)))</x:f>
        <x:v>70.7640915750916</x:v>
      </x:c>
      <x:c r="E52" s="16" t="n">
        <x:f>IF($B52="REAL",SUMIFS(Carga_Reales!$D:$D,Carga_Reales!$A:$A,$A52,Carga_Reales!$B:$B,$C52),SUMIFS(Proyecciones!$D:$D,Proyecciones!$A:$A,$A52,Proyecciones!$B:$B,$C52))*IF($B52="REAL",1,IF(Resumen!$B$5="Conservador",Supuestos!$B$5,IF(Resumen!$B$5="Optimista",Supuestos!$B$7,Supuestos!$B$6))*IF(Resumen!$B$5="Conservador",Supuestos!$C$5,IF(Resumen!$B$5="Optimista",Supuestos!$C$7,Supuestos!$C$6)))</x:f>
        <x:v>494148977.381169</x:v>
      </x:c>
      <x:c r="F52" s="16" t="n">
        <x:f>IF($B52="REAL",SUMIFS(Carga_Reales!$E:$E,Carga_Reales!$A:$A,$A52,Carga_Reales!$B:$B,$C52),SUMIFS(Proyecciones!$E:$E,Proyecciones!$A:$A,$A52,Proyecciones!$B:$B,$C52))*IF($B52="REAL",1,IF(Resumen!$B$5="Conservador",Supuestos!$B$5,IF(Resumen!$B$5="Optimista",Supuestos!$B$7,Supuestos!$B$6))*IF(Resumen!$B$5="Conservador",Supuestos!$D$5,IF(Resumen!$B$5="Optimista",Supuestos!$D$7,Supuestos!$D$6)))</x:f>
        <x:v>422546790.558637</x:v>
      </x:c>
      <x:c r="G52" s="16" t="n">
        <x:f>IF($B52="REAL",SUMIFS(Carga_Reales!$F:$F,Carga_Reales!$A:$A,$A52,Carga_Reales!$B:$B,$C52),SUMIFS(Proyecciones!$F:$F,Proyecciones!$A:$A,$A52,Proyecciones!$B:$B,$C52))*IF($B52="REAL",1,IF(Resumen!$B$5="Conservador",Supuestos!$B$5,IF(Resumen!$B$5="Optimista",Supuestos!$B$7,Supuestos!$B$6)))</x:f>
        <x:v>15791007.0349817</x:v>
      </x:c>
      <x:c r="H52" s="16" t="n">
        <x:f>IF($B52="REAL",SUMIFS(Carga_Reales!$G:$G,Carga_Reales!$A:$A,$A52,Carga_Reales!$B:$B,$C52),SUMIFS(Proyecciones!$G:$G,Proyecciones!$A:$A,$A52,Proyecciones!$B:$B,$C52))*IF($B52="REAL",1,IF(Resumen!$B$5="Conservador",Supuestos!$B$5,IF(Resumen!$B$5="Optimista",Supuestos!$B$7,Supuestos!$B$6)))</x:f>
        <x:v>0</x:v>
      </x:c>
      <x:c r="I52" s="16" t="n">
        <x:f>IF($B52="REAL",SUMIFS(Carga_Reales!$H:$H,Carga_Reales!$A:$A,$A52,Carga_Reales!$B:$B,$C52),SUMIFS(Proyecciones!$H:$H,Proyecciones!$A:$A,$A52,Proyecciones!$B:$B,$C52))*IF($B52="REAL",1,IF(Resumen!$B$5="Conservador",Supuestos!$B$5,IF(Resumen!$B$5="Optimista",Supuestos!$B$7,Supuestos!$B$6)))</x:f>
        <x:v>0</x:v>
      </x:c>
      <x:c r="J52" s="16" t="n">
        <x:f>IF($B52="REAL",SUMIFS(Carga_Reales!$I:$I,Carga_Reales!$A:$A,$A52,Carga_Reales!$B:$B,$C52),SUMIFS(Proyecciones!$I:$I,Proyecciones!$A:$A,$A52,Proyecciones!$B:$B,$C52))*IF($B52="REAL",1,IF(Resumen!$B$5="Conservador",Supuestos!$B$5,IF(Resumen!$B$5="Optimista",Supuestos!$B$7,Supuestos!$B$6)))</x:f>
        <x:v>0</x:v>
      </x:c>
      <x:c r="K52" s="16" t="n">
        <x:f>IF($B52="REAL",SUMIFS(Carga_Reales!$J:$J,Carga_Reales!$A:$A,$A52,Carga_Reales!$B:$B,$C52),SUMIFS(Proyecciones!$J:$J,Proyecciones!$A:$A,$A52,Proyecciones!$B:$B,$C52))*IF($B52="REAL",1,IF(Resumen!$B$5="Conservador",Supuestos!$B$5,IF(Resumen!$B$5="Optimista",Supuestos!$B$7,Supuestos!$B$6)))</x:f>
        <x:v>0</x:v>
      </x:c>
      <x:c r="L52" s="16" t="n">
        <x:f>IF($B52="REAL",SUMIFS(Carga_Reales!$K:$K,Carga_Reales!$A:$A,$A52,Carga_Reales!$B:$B,$C52),SUMIFS(Proyecciones!$K:$K,Proyecciones!$A:$A,$A52,Proyecciones!$B:$B,$C52))*IF($B52="REAL",1,IF(Resumen!$B$5="Conservador",Supuestos!$E$5,IF(Resumen!$B$5="Optimista",Supuestos!$E$7,Supuestos!$E$6)))</x:f>
        <x:v>31865823.5635883</x:v>
      </x:c>
      <x:c r="M52" s="16" t="n">
        <x:f>IF($B52="REAL",SUMIFS(Carga_Reales!$L:$L,Carga_Reales!$A:$A,$A52,Carga_Reales!$B:$B,$C52),SUMIFS(Proyecciones!$L:$L,Proyecciones!$A:$A,$A52,Proyecciones!$B:$B,$C52))*IF($B52="REAL",1,IF(Resumen!$B$5="Conservador",Supuestos!$E$5,IF(Resumen!$B$5="Optimista",Supuestos!$E$7,Supuestos!$E$6)))</x:f>
        <x:v>42400000</x:v>
      </x:c>
      <x:c r="N52" s="16" t="n">
        <x:f>E52+G52+H52+I52+J52+K52</x:f>
        <x:v>509939984.41615075</x:v>
      </x:c>
      <x:c r="O52" s="16" t="n">
        <x:f>E52-F52+G52+H52+I52+J52+K52-L52-M52</x:f>
        <x:v>13127370.293925397</x:v>
      </x:c>
      <x:c r="P52" s="16" t="n">
        <x:f>O52-IF($B52="REAL",SUMIFS(Carga_Reales!$M:$M,Carga_Reales!$A:$A,$A52,Carga_Reales!$B:$B,$C52),SUMIFS(Proyecciones!$M:$M,Proyecciones!$A:$A,$A52,Proyecciones!$B:$B,$C52))-IF($B52="REAL",SUMIFS(Carga_Reales!$N:$N,Carga_Reales!$A:$A,$A52,Carga_Reales!$B:$B,$C52),SUMIFS(Proyecciones!$N:$N,Proyecciones!$A:$A,$A52,Proyecciones!$B:$B,$C52))</x:f>
        <x:v>7232790.691051727</x:v>
      </x:c>
      <x:c r="Q52" s="16" t="n">
        <x:f>IF($B52="REAL",SUMIFS(Carga_Reales!$O:$O,Carga_Reales!$A:$A,$A52,Carga_Reales!$B:$B,$C52),SUMIFS(Proyecciones!$O:$O,Proyecciones!$A:$A,$A52,Proyecciones!$B:$B,$C52))</x:f>
        <x:v>0</x:v>
      </x:c>
      <x:c r="R52" s="16" t="n">
        <x:f>O52-Q52</x:f>
        <x:v>13127370.293925397</x:v>
      </x:c>
      <x:c r="S52" s="16" t="n">
        <x:f>E52-F52</x:f>
        <x:v>71602186.822532</x:v>
      </x:c>
      <x:c r="T52" s="16" t="n">
        <x:f>L52+M52</x:f>
        <x:v>74265823.56358829</x:v>
      </x:c>
      <x:c r="U52" t="n">
        <x:f>IFERROR((L52+M52)/MAX(1,(S52+G52)/MAX(1,D52)),0)</x:f>
        <x:v>60.134586088268065</x:v>
      </x:c>
    </x:row>
    <x:row r="53">
      <x:c r="A53" s="26" t="n">
        <x:v>46508</x:v>
      </x:c>
      <x:c r="B53" t="str">
        <x:f>IF(EOMONTH($A53,0)&lt;=Resumen!$B$4,"REAL","PROYECTADO")</x:f>
        <x:v>PROYECTADO</x:v>
      </x:c>
      <x:c r="C53" t="str">
        <x:v>Moto para Todos</x:v>
      </x:c>
      <x:c r="D53" s="15" t="n">
        <x:f>IF($B53="REAL",SUMIFS(Carga_Reales!$C:$C,Carga_Reales!$A:$A,$A53,Carga_Reales!$B:$B,$C53),SUMIFS(Proyecciones!$C:$C,Proyecciones!$A:$A,$A53,Proyecciones!$B:$B,$C53))*IF($B53="REAL",1,IF(Resumen!$B$5="Conservador",Supuestos!$B$5,IF(Resumen!$B$5="Optimista",Supuestos!$B$7,Supuestos!$B$6)))</x:f>
        <x:v>181.194468864469</x:v>
      </x:c>
      <x:c r="E53" s="16" t="n">
        <x:f>IF($B53="REAL",SUMIFS(Carga_Reales!$D:$D,Carga_Reales!$A:$A,$A53,Carga_Reales!$B:$B,$C53),SUMIFS(Proyecciones!$D:$D,Proyecciones!$A:$A,$A53,Proyecciones!$B:$B,$C53))*IF($B53="REAL",1,IF(Resumen!$B$5="Conservador",Supuestos!$B$5,IF(Resumen!$B$5="Optimista",Supuestos!$B$7,Supuestos!$B$6))*IF(Resumen!$B$5="Conservador",Supuestos!$C$5,IF(Resumen!$B$5="Optimista",Supuestos!$C$7,Supuestos!$C$6)))</x:f>
        <x:v>1033165063.2422</x:v>
      </x:c>
      <x:c r="F53" s="16" t="n">
        <x:f>IF($B53="REAL",SUMIFS(Carga_Reales!$E:$E,Carga_Reales!$A:$A,$A53,Carga_Reales!$B:$B,$C53),SUMIFS(Proyecciones!$E:$E,Proyecciones!$A:$A,$A53,Proyecciones!$B:$B,$C53))*IF($B53="REAL",1,IF(Resumen!$B$5="Conservador",Supuestos!$B$5,IF(Resumen!$B$5="Optimista",Supuestos!$B$7,Supuestos!$B$6))*IF(Resumen!$B$5="Conservador",Supuestos!$D$5,IF(Resumen!$B$5="Optimista",Supuestos!$D$7,Supuestos!$D$6)))</x:f>
        <x:v>851431328.617895</x:v>
      </x:c>
      <x:c r="G53" s="16" t="n">
        <x:f>IF($B53="REAL",SUMIFS(Carga_Reales!$F:$F,Carga_Reales!$A:$A,$A53,Carga_Reales!$B:$B,$C53),SUMIFS(Proyecciones!$F:$F,Proyecciones!$A:$A,$A53,Proyecciones!$B:$B,$C53))*IF($B53="REAL",1,IF(Resumen!$B$5="Conservador",Supuestos!$B$5,IF(Resumen!$B$5="Optimista",Supuestos!$B$7,Supuestos!$B$6)))</x:f>
        <x:v>30803059.7069597</x:v>
      </x:c>
      <x:c r="H53" s="16" t="n">
        <x:f>IF($B53="REAL",SUMIFS(Carga_Reales!$G:$G,Carga_Reales!$A:$A,$A53,Carga_Reales!$B:$B,$C53),SUMIFS(Proyecciones!$G:$G,Proyecciones!$A:$A,$A53,Proyecciones!$B:$B,$C53))*IF($B53="REAL",1,IF(Resumen!$B$5="Conservador",Supuestos!$B$5,IF(Resumen!$B$5="Optimista",Supuestos!$B$7,Supuestos!$B$6)))</x:f>
        <x:v>0</x:v>
      </x:c>
      <x:c r="I53" s="16" t="n">
        <x:f>IF($B53="REAL",SUMIFS(Carga_Reales!$H:$H,Carga_Reales!$A:$A,$A53,Carga_Reales!$B:$B,$C53),SUMIFS(Proyecciones!$H:$H,Proyecciones!$A:$A,$A53,Proyecciones!$B:$B,$C53))*IF($B53="REAL",1,IF(Resumen!$B$5="Conservador",Supuestos!$B$5,IF(Resumen!$B$5="Optimista",Supuestos!$B$7,Supuestos!$B$6)))</x:f>
        <x:v>0</x:v>
      </x:c>
      <x:c r="J53" s="16" t="n">
        <x:f>IF($B53="REAL",SUMIFS(Carga_Reales!$I:$I,Carga_Reales!$A:$A,$A53,Carga_Reales!$B:$B,$C53),SUMIFS(Proyecciones!$I:$I,Proyecciones!$A:$A,$A53,Proyecciones!$B:$B,$C53))*IF($B53="REAL",1,IF(Resumen!$B$5="Conservador",Supuestos!$B$5,IF(Resumen!$B$5="Optimista",Supuestos!$B$7,Supuestos!$B$6)))</x:f>
        <x:v>0</x:v>
      </x:c>
      <x:c r="K53" s="16" t="n">
        <x:f>IF($B53="REAL",SUMIFS(Carga_Reales!$J:$J,Carga_Reales!$A:$A,$A53,Carga_Reales!$B:$B,$C53),SUMIFS(Proyecciones!$J:$J,Proyecciones!$A:$A,$A53,Proyecciones!$B:$B,$C53))*IF($B53="REAL",1,IF(Resumen!$B$5="Conservador",Supuestos!$B$5,IF(Resumen!$B$5="Optimista",Supuestos!$B$7,Supuestos!$B$6)))</x:f>
        <x:v>45389680.5379663</x:v>
      </x:c>
      <x:c r="L53" s="16" t="n">
        <x:f>IF($B53="REAL",SUMIFS(Carga_Reales!$K:$K,Carga_Reales!$A:$A,$A53,Carga_Reales!$B:$B,$C53),SUMIFS(Proyecciones!$K:$K,Proyecciones!$A:$A,$A53,Proyecciones!$B:$B,$C53))*IF($B53="REAL",1,IF(Resumen!$B$5="Conservador",Supuestos!$E$5,IF(Resumen!$B$5="Optimista",Supuestos!$E$7,Supuestos!$E$6)))</x:f>
        <x:v>90774371.830064</x:v>
      </x:c>
      <x:c r="M53" s="16" t="n">
        <x:f>IF($B53="REAL",SUMIFS(Carga_Reales!$L:$L,Carga_Reales!$A:$A,$A53,Carga_Reales!$B:$B,$C53),SUMIFS(Proyecciones!$L:$L,Proyecciones!$A:$A,$A53,Proyecciones!$B:$B,$C53))*IF($B53="REAL",1,IF(Resumen!$B$5="Conservador",Supuestos!$E$5,IF(Resumen!$B$5="Optimista",Supuestos!$E$7,Supuestos!$E$6)))</x:f>
        <x:v>51304000</x:v>
      </x:c>
      <x:c r="N53" s="16" t="n">
        <x:f>E53+G53+H53+I53+J53+K53</x:f>
        <x:v>1109357803.487126</x:v>
      </x:c>
      <x:c r="O53" s="16" t="n">
        <x:f>E53-F53+G53+H53+I53+J53+K53-L53-M53</x:f>
        <x:v>115848103.03916702</x:v>
      </x:c>
      <x:c r="P53" s="16" t="n">
        <x:f>O53-IF($B53="REAL",SUMIFS(Carga_Reales!$M:$M,Carga_Reales!$A:$A,$A53,Carga_Reales!$B:$B,$C53),SUMIFS(Proyecciones!$M:$M,Proyecciones!$A:$A,$A53,Proyecciones!$B:$B,$C53))-IF($B53="REAL",SUMIFS(Carga_Reales!$N:$N,Carga_Reales!$A:$A,$A53,Carga_Reales!$B:$B,$C53),SUMIFS(Proyecciones!$N:$N,Proyecciones!$A:$A,$A53,Proyecciones!$B:$B,$C53))</x:f>
        <x:v>72701266.97545943</x:v>
      </x:c>
      <x:c r="Q53" s="16" t="n">
        <x:f>IF($B53="REAL",SUMIFS(Carga_Reales!$O:$O,Carga_Reales!$A:$A,$A53,Carga_Reales!$B:$B,$C53),SUMIFS(Proyecciones!$O:$O,Proyecciones!$A:$A,$A53,Proyecciones!$B:$B,$C53))</x:f>
        <x:v>0</x:v>
      </x:c>
      <x:c r="R53" s="16" t="n">
        <x:f>O53-Q53</x:f>
        <x:v>115848103.03916702</x:v>
      </x:c>
      <x:c r="S53" s="16" t="n">
        <x:f>E53-F53</x:f>
        <x:v>181733734.624305</x:v>
      </x:c>
      <x:c r="T53" s="16" t="n">
        <x:f>L53+M53</x:f>
        <x:v>142078371.830064</x:v>
      </x:c>
      <x:c r="U53" t="n">
        <x:f>IFERROR((L53+M53)/MAX(1,(S53+G53)/MAX(1,D53)),0)</x:f>
        <x:v>121.12639226482396</x:v>
      </x:c>
    </x:row>
    <x:row r="54">
      <x:c r="A54" s="26" t="n">
        <x:v>46508</x:v>
      </x:c>
      <x:c r="B54" t="str">
        <x:f>IF(EOMONTH($A54,0)&lt;=Resumen!$B$4,"REAL","PROYECTADO")</x:f>
        <x:v>PROYECTADO</x:v>
      </x:c>
      <x:c r="C54" t="str">
        <x:v>Verificarte</x:v>
      </x:c>
      <x:c r="D54" s="15" t="n">
        <x:f>IF($B54="REAL",SUMIFS(Carga_Reales!$C:$C,Carga_Reales!$A:$A,$A54,Carga_Reales!$B:$B,$C54),SUMIFS(Proyecciones!$C:$C,Proyecciones!$A:$A,$A54,Proyecciones!$B:$B,$C54))*IF($B54="REAL",1,IF(Resumen!$B$5="Conservador",Supuestos!$B$5,IF(Resumen!$B$5="Optimista",Supuestos!$B$7,Supuestos!$B$6)))</x:f>
        <x:v>188.70741025641</x:v>
      </x:c>
      <x:c r="E54" s="16" t="n">
        <x:f>IF($B54="REAL",SUMIFS(Carga_Reales!$D:$D,Carga_Reales!$A:$A,$A54,Carga_Reales!$B:$B,$C54),SUMIFS(Proyecciones!$D:$D,Proyecciones!$A:$A,$A54,Proyecciones!$B:$B,$C54))*IF($B54="REAL",1,IF(Resumen!$B$5="Conservador",Supuestos!$B$5,IF(Resumen!$B$5="Optimista",Supuestos!$B$7,Supuestos!$B$6))*IF(Resumen!$B$5="Conservador",Supuestos!$C$5,IF(Resumen!$B$5="Optimista",Supuestos!$C$7,Supuestos!$C$6)))</x:f>
        <x:v>1760180257.73351</x:v>
      </x:c>
      <x:c r="F54" s="16" t="n">
        <x:f>IF($B54="REAL",SUMIFS(Carga_Reales!$E:$E,Carga_Reales!$A:$A,$A54,Carga_Reales!$B:$B,$C54),SUMIFS(Proyecciones!$E:$E,Proyecciones!$A:$A,$A54,Proyecciones!$B:$B,$C54))*IF($B54="REAL",1,IF(Resumen!$B$5="Conservador",Supuestos!$B$5,IF(Resumen!$B$5="Optimista",Supuestos!$B$7,Supuestos!$B$6))*IF(Resumen!$B$5="Conservador",Supuestos!$D$5,IF(Resumen!$B$5="Optimista",Supuestos!$D$7,Supuestos!$D$6)))</x:f>
        <x:v>1469750515.20748</x:v>
      </x:c>
      <x:c r="G54" s="16" t="n">
        <x:f>IF($B54="REAL",SUMIFS(Carga_Reales!$F:$F,Carga_Reales!$A:$A,$A54,Carga_Reales!$B:$B,$C54),SUMIFS(Proyecciones!$F:$F,Proyecciones!$A:$A,$A54,Proyecciones!$B:$B,$C54))*IF($B54="REAL",1,IF(Resumen!$B$5="Conservador",Supuestos!$B$5,IF(Resumen!$B$5="Optimista",Supuestos!$B$7,Supuestos!$B$6)))</x:f>
        <x:v>23739392.2102564</x:v>
      </x:c>
      <x:c r="H54" s="16" t="n">
        <x:f>IF($B54="REAL",SUMIFS(Carga_Reales!$G:$G,Carga_Reales!$A:$A,$A54,Carga_Reales!$B:$B,$C54),SUMIFS(Proyecciones!$G:$G,Proyecciones!$A:$A,$A54,Proyecciones!$B:$B,$C54))*IF($B54="REAL",1,IF(Resumen!$B$5="Conservador",Supuestos!$B$5,IF(Resumen!$B$5="Optimista",Supuestos!$B$7,Supuestos!$B$6)))</x:f>
        <x:v>0</x:v>
      </x:c>
      <x:c r="I54" s="16" t="n">
        <x:f>IF($B54="REAL",SUMIFS(Carga_Reales!$H:$H,Carga_Reales!$A:$A,$A54,Carga_Reales!$B:$B,$C54),SUMIFS(Proyecciones!$H:$H,Proyecciones!$A:$A,$A54,Proyecciones!$B:$B,$C54))*IF($B54="REAL",1,IF(Resumen!$B$5="Conservador",Supuestos!$B$5,IF(Resumen!$B$5="Optimista",Supuestos!$B$7,Supuestos!$B$6)))</x:f>
        <x:v>0</x:v>
      </x:c>
      <x:c r="J54" s="16" t="n">
        <x:f>IF($B54="REAL",SUMIFS(Carga_Reales!$I:$I,Carga_Reales!$A:$A,$A54,Carga_Reales!$B:$B,$C54),SUMIFS(Proyecciones!$I:$I,Proyecciones!$A:$A,$A54,Proyecciones!$B:$B,$C54))*IF($B54="REAL",1,IF(Resumen!$B$5="Conservador",Supuestos!$B$5,IF(Resumen!$B$5="Optimista",Supuestos!$B$7,Supuestos!$B$6)))</x:f>
        <x:v>0</x:v>
      </x:c>
      <x:c r="K54" s="16" t="n">
        <x:f>IF($B54="REAL",SUMIFS(Carga_Reales!$J:$J,Carga_Reales!$A:$A,$A54,Carga_Reales!$B:$B,$C54),SUMIFS(Proyecciones!$J:$J,Proyecciones!$A:$A,$A54,Proyecciones!$B:$B,$C54))*IF($B54="REAL",1,IF(Resumen!$B$5="Conservador",Supuestos!$B$5,IF(Resumen!$B$5="Optimista",Supuestos!$B$7,Supuestos!$B$6)))</x:f>
        <x:v>0</x:v>
      </x:c>
      <x:c r="L54" s="16" t="n">
        <x:f>IF($B54="REAL",SUMIFS(Carga_Reales!$K:$K,Carga_Reales!$A:$A,$A54,Carga_Reales!$B:$B,$C54),SUMIFS(Proyecciones!$K:$K,Proyecciones!$A:$A,$A54,Proyecciones!$B:$B,$C54))*IF($B54="REAL",1,IF(Resumen!$B$5="Conservador",Supuestos!$E$5,IF(Resumen!$B$5="Optimista",Supuestos!$E$7,Supuestos!$E$6)))</x:f>
        <x:v>73089161.6281478</x:v>
      </x:c>
      <x:c r="M54" s="16" t="n">
        <x:f>IF($B54="REAL",SUMIFS(Carga_Reales!$L:$L,Carga_Reales!$A:$A,$A54,Carga_Reales!$B:$B,$C54),SUMIFS(Proyecciones!$L:$L,Proyecciones!$A:$A,$A54,Proyecciones!$B:$B,$C54))*IF($B54="REAL",1,IF(Resumen!$B$5="Conservador",Supuestos!$E$5,IF(Resumen!$B$5="Optimista",Supuestos!$E$7,Supuestos!$E$6)))</x:f>
        <x:v>75260000</x:v>
      </x:c>
      <x:c r="N54" s="16" t="n">
        <x:f>E54+G54+H54+I54+J54+K54</x:f>
        <x:v>1783919649.9437664</x:v>
      </x:c>
      <x:c r="O54" s="16" t="n">
        <x:f>E54-F54+G54+H54+I54+J54+K54-L54-M54</x:f>
        <x:v>165819973.10813868</x:v>
      </x:c>
      <x:c r="P54" s="16" t="n">
        <x:f>O54-IF($B54="REAL",SUMIFS(Carga_Reales!$M:$M,Carga_Reales!$A:$A,$A54,Carga_Reales!$B:$B,$C54),SUMIFS(Proyecciones!$M:$M,Proyecciones!$A:$A,$A54,Proyecciones!$B:$B,$C54))-IF($B54="REAL",SUMIFS(Carga_Reales!$N:$N,Carga_Reales!$A:$A,$A54,Carga_Reales!$B:$B,$C54),SUMIFS(Proyecciones!$N:$N,Proyecciones!$A:$A,$A54,Proyecciones!$B:$B,$C54))</x:f>
        <x:v>105182982.52029029</x:v>
      </x:c>
      <x:c r="Q54" s="16" t="n">
        <x:f>IF($B54="REAL",SUMIFS(Carga_Reales!$O:$O,Carga_Reales!$A:$A,$A54,Carga_Reales!$B:$B,$C54),SUMIFS(Proyecciones!$O:$O,Proyecciones!$A:$A,$A54,Proyecciones!$B:$B,$C54))</x:f>
        <x:v>0</x:v>
      </x:c>
      <x:c r="R54" s="16" t="n">
        <x:f>O54-Q54</x:f>
        <x:v>165819973.10813868</x:v>
      </x:c>
      <x:c r="S54" s="16" t="n">
        <x:f>E54-F54</x:f>
        <x:v>290429742.52603006</x:v>
      </x:c>
      <x:c r="T54" s="16" t="n">
        <x:f>L54+M54</x:f>
        <x:v>148349161.62814778</x:v>
      </x:c>
      <x:c r="U54" t="n">
        <x:f>IFERROR((L54+M54)/MAX(1,(S54+G54)/MAX(1,D54)),0)</x:f>
        <x:v>89.10673586078407</x:v>
      </x:c>
    </x:row>
    <x:row r="55">
      <x:c r="A55" s="26" t="n">
        <x:v>46508</x:v>
      </x:c>
      <x:c r="B55" t="str">
        <x:f>IF(EOMONTH($A55,0)&lt;=Resumen!$B$4,"REAL","PROYECTADO")</x:f>
        <x:v>PROYECTADO</x:v>
      </x:c>
      <x:c r="C55" t="str">
        <x:v>TuClick</x:v>
      </x:c>
      <x:c r="D55" s="15" t="n">
        <x:f>IF($B55="REAL",SUMIFS(Carga_Reales!$C:$C,Carga_Reales!$A:$A,$A55,Carga_Reales!$B:$B,$C55),SUMIFS(Proyecciones!$C:$C,Proyecciones!$A:$A,$A55,Proyecciones!$B:$B,$C55))*IF($B55="REAL",1,IF(Resumen!$B$5="Conservador",Supuestos!$B$5,IF(Resumen!$B$5="Optimista",Supuestos!$B$7,Supuestos!$B$6)))</x:f>
        <x:v>72.0358498168498</x:v>
      </x:c>
      <x:c r="E55" s="16" t="n">
        <x:f>IF($B55="REAL",SUMIFS(Carga_Reales!$D:$D,Carga_Reales!$A:$A,$A55,Carga_Reales!$B:$B,$C55),SUMIFS(Proyecciones!$D:$D,Proyecciones!$A:$A,$A55,Proyecciones!$B:$B,$C55))*IF($B55="REAL",1,IF(Resumen!$B$5="Conservador",Supuestos!$B$5,IF(Resumen!$B$5="Optimista",Supuestos!$B$7,Supuestos!$B$6))*IF(Resumen!$B$5="Conservador",Supuestos!$C$5,IF(Resumen!$B$5="Optimista",Supuestos!$C$7,Supuestos!$C$6)))</x:f>
        <x:v>503029724.956004</x:v>
      </x:c>
      <x:c r="F55" s="16" t="n">
        <x:f>IF($B55="REAL",SUMIFS(Carga_Reales!$E:$E,Carga_Reales!$A:$A,$A55,Carga_Reales!$B:$B,$C55),SUMIFS(Proyecciones!$E:$E,Proyecciones!$A:$A,$A55,Proyecciones!$B:$B,$C55))*IF($B55="REAL",1,IF(Resumen!$B$5="Conservador",Supuestos!$B$5,IF(Resumen!$B$5="Optimista",Supuestos!$B$7,Supuestos!$B$6))*IF(Resumen!$B$5="Conservador",Supuestos!$D$5,IF(Resumen!$B$5="Optimista",Supuestos!$D$7,Supuestos!$D$6)))</x:f>
        <x:v>430140717.809879</x:v>
      </x:c>
      <x:c r="G55" s="16" t="n">
        <x:f>IF($B55="REAL",SUMIFS(Carga_Reales!$F:$F,Carga_Reales!$A:$A,$A55,Carga_Reales!$B:$B,$C55),SUMIFS(Proyecciones!$F:$F,Proyecciones!$A:$A,$A55,Proyecciones!$B:$B,$C55))*IF($B55="REAL",1,IF(Resumen!$B$5="Conservador",Supuestos!$B$5,IF(Resumen!$B$5="Optimista",Supuestos!$B$7,Supuestos!$B$6)))</x:f>
        <x:v>16074799.88663</x:v>
      </x:c>
      <x:c r="H55" s="16" t="n">
        <x:f>IF($B55="REAL",SUMIFS(Carga_Reales!$G:$G,Carga_Reales!$A:$A,$A55,Carga_Reales!$B:$B,$C55),SUMIFS(Proyecciones!$G:$G,Proyecciones!$A:$A,$A55,Proyecciones!$B:$B,$C55))*IF($B55="REAL",1,IF(Resumen!$B$5="Conservador",Supuestos!$B$5,IF(Resumen!$B$5="Optimista",Supuestos!$B$7,Supuestos!$B$6)))</x:f>
        <x:v>0</x:v>
      </x:c>
      <x:c r="I55" s="16" t="n">
        <x:f>IF($B55="REAL",SUMIFS(Carga_Reales!$H:$H,Carga_Reales!$A:$A,$A55,Carga_Reales!$B:$B,$C55),SUMIFS(Proyecciones!$H:$H,Proyecciones!$A:$A,$A55,Proyecciones!$B:$B,$C55))*IF($B55="REAL",1,IF(Resumen!$B$5="Conservador",Supuestos!$B$5,IF(Resumen!$B$5="Optimista",Supuestos!$B$7,Supuestos!$B$6)))</x:f>
        <x:v>0</x:v>
      </x:c>
      <x:c r="J55" s="16" t="n">
        <x:f>IF($B55="REAL",SUMIFS(Carga_Reales!$I:$I,Carga_Reales!$A:$A,$A55,Carga_Reales!$B:$B,$C55),SUMIFS(Proyecciones!$I:$I,Proyecciones!$A:$A,$A55,Proyecciones!$B:$B,$C55))*IF($B55="REAL",1,IF(Resumen!$B$5="Conservador",Supuestos!$B$5,IF(Resumen!$B$5="Optimista",Supuestos!$B$7,Supuestos!$B$6)))</x:f>
        <x:v>0</x:v>
      </x:c>
      <x:c r="K55" s="16" t="n">
        <x:f>IF($B55="REAL",SUMIFS(Carga_Reales!$J:$J,Carga_Reales!$A:$A,$A55,Carga_Reales!$B:$B,$C55),SUMIFS(Proyecciones!$J:$J,Proyecciones!$A:$A,$A55,Proyecciones!$B:$B,$C55))*IF($B55="REAL",1,IF(Resumen!$B$5="Conservador",Supuestos!$B$5,IF(Resumen!$B$5="Optimista",Supuestos!$B$7,Supuestos!$B$6)))</x:f>
        <x:v>0</x:v>
      </x:c>
      <x:c r="L55" s="16" t="n">
        <x:f>IF($B55="REAL",SUMIFS(Carga_Reales!$K:$K,Carga_Reales!$A:$A,$A55,Carga_Reales!$B:$B,$C55),SUMIFS(Proyecciones!$K:$K,Proyecciones!$A:$A,$A55,Proyecciones!$B:$B,$C55))*IF($B55="REAL",1,IF(Resumen!$B$5="Conservador",Supuestos!$E$5,IF(Resumen!$B$5="Optimista",Supuestos!$E$7,Supuestos!$E$6)))</x:f>
        <x:v>31865823.5635883</x:v>
      </x:c>
      <x:c r="M55" s="16" t="n">
        <x:f>IF($B55="REAL",SUMIFS(Carga_Reales!$L:$L,Carga_Reales!$A:$A,$A55,Carga_Reales!$B:$B,$C55),SUMIFS(Proyecciones!$L:$L,Proyecciones!$A:$A,$A55,Proyecciones!$B:$B,$C55))*IF($B55="REAL",1,IF(Resumen!$B$5="Conservador",Supuestos!$E$5,IF(Resumen!$B$5="Optimista",Supuestos!$E$7,Supuestos!$E$6)))</x:f>
        <x:v>42400000</x:v>
      </x:c>
      <x:c r="N55" s="16" t="n">
        <x:f>E55+G55+H55+I55+J55+K55</x:f>
        <x:v>519104524.842634</x:v>
      </x:c>
      <x:c r="O55" s="16" t="n">
        <x:f>E55-F55+G55+H55+I55+J55+K55-L55-M55</x:f>
        <x:v>14697983.469166718</x:v>
      </x:c>
      <x:c r="P55" s="16" t="n">
        <x:f>O55-IF($B55="REAL",SUMIFS(Carga_Reales!$M:$M,Carga_Reales!$A:$A,$A55,Carga_Reales!$B:$B,$C55),SUMIFS(Proyecciones!$M:$M,Proyecciones!$A:$A,$A55,Proyecciones!$B:$B,$C55))-IF($B55="REAL",SUMIFS(Carga_Reales!$N:$N,Carga_Reales!$A:$A,$A55,Carga_Reales!$B:$B,$C55),SUMIFS(Proyecciones!$N:$N,Proyecciones!$A:$A,$A55,Proyecciones!$B:$B,$C55))</x:f>
        <x:v>8253689.254958369</x:v>
      </x:c>
      <x:c r="Q55" s="16" t="n">
        <x:f>IF($B55="REAL",SUMIFS(Carga_Reales!$O:$O,Carga_Reales!$A:$A,$A55,Carga_Reales!$B:$B,$C55),SUMIFS(Proyecciones!$O:$O,Proyecciones!$A:$A,$A55,Proyecciones!$B:$B,$C55))</x:f>
        <x:v>0</x:v>
      </x:c>
      <x:c r="R55" s="16" t="n">
        <x:f>O55-Q55</x:f>
        <x:v>14697983.469166718</x:v>
      </x:c>
      <x:c r="S55" s="16" t="n">
        <x:f>E55-F55</x:f>
        <x:v>72889007.14612502</x:v>
      </x:c>
      <x:c r="T55" s="16" t="n">
        <x:f>L55+M55</x:f>
        <x:v>74265823.56358829</x:v>
      </x:c>
      <x:c r="U55" t="n">
        <x:f>IFERROR((L55+M55)/MAX(1,(S55+G55)/MAX(1,D55)),0)</x:f>
        <x:v>60.134586088268485</x:v>
      </x:c>
    </x:row>
    <x:row r="56">
      <x:c r="A56" s="26" t="n">
        <x:v>46539</x:v>
      </x:c>
      <x:c r="B56" t="str">
        <x:f>IF(EOMONTH($A56,0)&lt;=Resumen!$B$4,"REAL","PROYECTADO")</x:f>
        <x:v>PROYECTADO</x:v>
      </x:c>
      <x:c r="C56" t="str">
        <x:v>Moto para Todos</x:v>
      </x:c>
      <x:c r="D56" s="15" t="n">
        <x:f>IF($B56="REAL",SUMIFS(Carga_Reales!$C:$C,Carga_Reales!$A:$A,$A56,Carga_Reales!$B:$B,$C56),SUMIFS(Proyecciones!$C:$C,Proyecciones!$A:$A,$A56,Proyecciones!$B:$B,$C56))*IF($B56="REAL",1,IF(Resumen!$B$5="Conservador",Supuestos!$B$5,IF(Resumen!$B$5="Optimista",Supuestos!$B$7,Supuestos!$B$6)))</x:f>
        <x:v>184.5</x:v>
      </x:c>
      <x:c r="E56" s="16" t="n">
        <x:f>IF($B56="REAL",SUMIFS(Carga_Reales!$D:$D,Carga_Reales!$A:$A,$A56,Carga_Reales!$B:$B,$C56),SUMIFS(Proyecciones!$D:$D,Proyecciones!$A:$A,$A56,Proyecciones!$B:$B,$C56))*IF($B56="REAL",1,IF(Resumen!$B$5="Conservador",Supuestos!$B$5,IF(Resumen!$B$5="Optimista",Supuestos!$B$7,Supuestos!$B$6))*IF(Resumen!$B$5="Conservador",Supuestos!$C$5,IF(Resumen!$B$5="Optimista",Supuestos!$C$7,Supuestos!$C$6)))</x:f>
        <x:v>1052013096</x:v>
      </x:c>
      <x:c r="F56" s="16" t="n">
        <x:f>IF($B56="REAL",SUMIFS(Carga_Reales!$E:$E,Carga_Reales!$A:$A,$A56,Carga_Reales!$B:$B,$C56),SUMIFS(Proyecciones!$E:$E,Proyecciones!$A:$A,$A56,Proyecciones!$B:$B,$C56))*IF($B56="REAL",1,IF(Resumen!$B$5="Conservador",Supuestos!$B$5,IF(Resumen!$B$5="Optimista",Supuestos!$B$7,Supuestos!$B$6))*IF(Resumen!$B$5="Conservador",Supuestos!$D$5,IF(Resumen!$B$5="Optimista",Supuestos!$D$7,Supuestos!$D$6)))</x:f>
        <x:v>866963992.4136</x:v>
      </x:c>
      <x:c r="G56" s="16" t="n">
        <x:f>IF($B56="REAL",SUMIFS(Carga_Reales!$F:$F,Carga_Reales!$A:$A,$A56,Carga_Reales!$B:$B,$C56),SUMIFS(Proyecciones!$F:$F,Proyecciones!$A:$A,$A56,Proyecciones!$B:$B,$C56))*IF($B56="REAL",1,IF(Resumen!$B$5="Conservador",Supuestos!$B$5,IF(Resumen!$B$5="Optimista",Supuestos!$B$7,Supuestos!$B$6)))</x:f>
        <x:v>31365000</x:v>
      </x:c>
      <x:c r="H56" s="16" t="n">
        <x:f>IF($B56="REAL",SUMIFS(Carga_Reales!$G:$G,Carga_Reales!$A:$A,$A56,Carga_Reales!$B:$B,$C56),SUMIFS(Proyecciones!$G:$G,Proyecciones!$A:$A,$A56,Proyecciones!$B:$B,$C56))*IF($B56="REAL",1,IF(Resumen!$B$5="Conservador",Supuestos!$B$5,IF(Resumen!$B$5="Optimista",Supuestos!$B$7,Supuestos!$B$6)))</x:f>
        <x:v>0</x:v>
      </x:c>
      <x:c r="I56" s="16" t="n">
        <x:f>IF($B56="REAL",SUMIFS(Carga_Reales!$H:$H,Carga_Reales!$A:$A,$A56,Carga_Reales!$B:$B,$C56),SUMIFS(Proyecciones!$H:$H,Proyecciones!$A:$A,$A56,Proyecciones!$B:$B,$C56))*IF($B56="REAL",1,IF(Resumen!$B$5="Conservador",Supuestos!$B$5,IF(Resumen!$B$5="Optimista",Supuestos!$B$7,Supuestos!$B$6)))</x:f>
        <x:v>0</x:v>
      </x:c>
      <x:c r="J56" s="16" t="n">
        <x:f>IF($B56="REAL",SUMIFS(Carga_Reales!$I:$I,Carga_Reales!$A:$A,$A56,Carga_Reales!$B:$B,$C56),SUMIFS(Proyecciones!$I:$I,Proyecciones!$A:$A,$A56,Proyecciones!$B:$B,$C56))*IF($B56="REAL",1,IF(Resumen!$B$5="Conservador",Supuestos!$B$5,IF(Resumen!$B$5="Optimista",Supuestos!$B$7,Supuestos!$B$6)))</x:f>
        <x:v>0</x:v>
      </x:c>
      <x:c r="K56" s="16" t="n">
        <x:f>IF($B56="REAL",SUMIFS(Carga_Reales!$J:$J,Carga_Reales!$A:$A,$A56,Carga_Reales!$B:$B,$C56),SUMIFS(Proyecciones!$J:$J,Proyecciones!$A:$A,$A56,Proyecciones!$B:$B,$C56))*IF($B56="REAL",1,IF(Resumen!$B$5="Conservador",Supuestos!$B$5,IF(Resumen!$B$5="Optimista",Supuestos!$B$7,Supuestos!$B$6)))</x:f>
        <x:v>49805578.5741591</x:v>
      </x:c>
      <x:c r="L56" s="16" t="n">
        <x:f>IF($B56="REAL",SUMIFS(Carga_Reales!$K:$K,Carga_Reales!$A:$A,$A56,Carga_Reales!$B:$B,$C56),SUMIFS(Proyecciones!$K:$K,Proyecciones!$A:$A,$A56,Proyecciones!$B:$B,$C56))*IF($B56="REAL",1,IF(Resumen!$B$5="Conservador",Supuestos!$E$5,IF(Resumen!$B$5="Optimista",Supuestos!$E$7,Supuestos!$E$6)))</x:f>
        <x:v>90774371.830064</x:v>
      </x:c>
      <x:c r="M56" s="16" t="n">
        <x:f>IF($B56="REAL",SUMIFS(Carga_Reales!$L:$L,Carga_Reales!$A:$A,$A56,Carga_Reales!$B:$B,$C56),SUMIFS(Proyecciones!$L:$L,Proyecciones!$A:$A,$A56,Proyecciones!$B:$B,$C56))*IF($B56="REAL",1,IF(Resumen!$B$5="Conservador",Supuestos!$E$5,IF(Resumen!$B$5="Optimista",Supuestos!$E$7,Supuestos!$E$6)))</x:f>
        <x:v>51304000</x:v>
      </x:c>
      <x:c r="N56" s="16" t="n">
        <x:f>E56+G56+H56+I56+J56+K56</x:f>
        <x:v>1133183674.5741591</x:v>
      </x:c>
      <x:c r="O56" s="16" t="n">
        <x:f>E56-F56+G56+H56+I56+J56+K56-L56-M56</x:f>
        <x:v>124141310.33049512</x:v>
      </x:c>
      <x:c r="P56" s="16" t="n">
        <x:f>O56-IF($B56="REAL",SUMIFS(Carga_Reales!$M:$M,Carga_Reales!$A:$A,$A56,Carga_Reales!$B:$B,$C56),SUMIFS(Proyecciones!$M:$M,Proyecciones!$A:$A,$A56,Proyecciones!$B:$B,$C56))-IF($B56="REAL",SUMIFS(Carga_Reales!$N:$N,Carga_Reales!$A:$A,$A56,Carga_Reales!$B:$B,$C56),SUMIFS(Proyecciones!$N:$N,Proyecciones!$A:$A,$A56,Proyecciones!$B:$B,$C56))</x:f>
        <x:v>78091851.71482192</x:v>
      </x:c>
      <x:c r="Q56" s="16" t="n">
        <x:f>IF($B56="REAL",SUMIFS(Carga_Reales!$O:$O,Carga_Reales!$A:$A,$A56,Carga_Reales!$B:$B,$C56),SUMIFS(Proyecciones!$O:$O,Proyecciones!$A:$A,$A56,Proyecciones!$B:$B,$C56))</x:f>
        <x:v>0</x:v>
      </x:c>
      <x:c r="R56" s="16" t="n">
        <x:f>O56-Q56</x:f>
        <x:v>124141310.33049512</x:v>
      </x:c>
      <x:c r="S56" s="16" t="n">
        <x:f>E56-F56</x:f>
        <x:v>185049103.58640003</x:v>
      </x:c>
      <x:c r="T56" s="16" t="n">
        <x:f>L56+M56</x:f>
        <x:v>142078371.830064</x:v>
      </x:c>
      <x:c r="U56" t="n">
        <x:f>IFERROR((L56+M56)/MAX(1,(S56+G56)/MAX(1,D56)),0)</x:f>
        <x:v>121.12639226482521</x:v>
      </x:c>
    </x:row>
    <x:row r="57">
      <x:c r="A57" s="26" t="n">
        <x:v>46539</x:v>
      </x:c>
      <x:c r="B57" t="str">
        <x:f>IF(EOMONTH($A57,0)&lt;=Resumen!$B$4,"REAL","PROYECTADO")</x:f>
        <x:v>PROYECTADO</x:v>
      </x:c>
      <x:c r="C57" t="str">
        <x:v>Verificarte</x:v>
      </x:c>
      <x:c r="D57" s="15" t="n">
        <x:f>IF($B57="REAL",SUMIFS(Carga_Reales!$C:$C,Carga_Reales!$A:$A,$A57,Carga_Reales!$B:$B,$C57),SUMIFS(Proyecciones!$C:$C,Proyecciones!$A:$A,$A57,Proyecciones!$B:$B,$C57))*IF($B57="REAL",1,IF(Resumen!$B$5="Conservador",Supuestos!$B$5,IF(Resumen!$B$5="Optimista",Supuestos!$B$7,Supuestos!$B$6)))</x:f>
        <x:v>192.15</x:v>
      </x:c>
      <x:c r="E57" s="16" t="n">
        <x:f>IF($B57="REAL",SUMIFS(Carga_Reales!$D:$D,Carga_Reales!$A:$A,$A57,Carga_Reales!$B:$B,$C57),SUMIFS(Proyecciones!$D:$D,Proyecciones!$A:$A,$A57,Proyecciones!$B:$B,$C57))*IF($B57="REAL",1,IF(Resumen!$B$5="Conservador",Supuestos!$B$5,IF(Resumen!$B$5="Optimista",Supuestos!$B$7,Supuestos!$B$6))*IF(Resumen!$B$5="Conservador",Supuestos!$C$5,IF(Resumen!$B$5="Optimista",Supuestos!$C$7,Supuestos!$C$6)))</x:f>
        <x:v>1792291230.45</x:v>
      </x:c>
      <x:c r="F57" s="16" t="n">
        <x:f>IF($B57="REAL",SUMIFS(Carga_Reales!$E:$E,Carga_Reales!$A:$A,$A57,Carga_Reales!$B:$B,$C57),SUMIFS(Proyecciones!$E:$E,Proyecciones!$A:$A,$A57,Proyecciones!$B:$B,$C57))*IF($B57="REAL",1,IF(Resumen!$B$5="Conservador",Supuestos!$B$5,IF(Resumen!$B$5="Optimista",Supuestos!$B$7,Supuestos!$B$6))*IF(Resumen!$B$5="Conservador",Supuestos!$D$5,IF(Resumen!$B$5="Optimista",Supuestos!$D$7,Supuestos!$D$6)))</x:f>
        <x:v>1496563177.42575</x:v>
      </x:c>
      <x:c r="G57" s="16" t="n">
        <x:f>IF($B57="REAL",SUMIFS(Carga_Reales!$F:$F,Carga_Reales!$A:$A,$A57,Carga_Reales!$B:$B,$C57),SUMIFS(Proyecciones!$F:$F,Proyecciones!$A:$A,$A57,Proyecciones!$B:$B,$C57))*IF($B57="REAL",1,IF(Resumen!$B$5="Conservador",Supuestos!$B$5,IF(Resumen!$B$5="Optimista",Supuestos!$B$7,Supuestos!$B$6)))</x:f>
        <x:v>24172470</x:v>
      </x:c>
      <x:c r="H57" s="16" t="n">
        <x:f>IF($B57="REAL",SUMIFS(Carga_Reales!$G:$G,Carga_Reales!$A:$A,$A57,Carga_Reales!$B:$B,$C57),SUMIFS(Proyecciones!$G:$G,Proyecciones!$A:$A,$A57,Proyecciones!$B:$B,$C57))*IF($B57="REAL",1,IF(Resumen!$B$5="Conservador",Supuestos!$B$5,IF(Resumen!$B$5="Optimista",Supuestos!$B$7,Supuestos!$B$6)))</x:f>
        <x:v>0</x:v>
      </x:c>
      <x:c r="I57" s="16" t="n">
        <x:f>IF($B57="REAL",SUMIFS(Carga_Reales!$H:$H,Carga_Reales!$A:$A,$A57,Carga_Reales!$B:$B,$C57),SUMIFS(Proyecciones!$H:$H,Proyecciones!$A:$A,$A57,Proyecciones!$B:$B,$C57))*IF($B57="REAL",1,IF(Resumen!$B$5="Conservador",Supuestos!$B$5,IF(Resumen!$B$5="Optimista",Supuestos!$B$7,Supuestos!$B$6)))</x:f>
        <x:v>0</x:v>
      </x:c>
      <x:c r="J57" s="16" t="n">
        <x:f>IF($B57="REAL",SUMIFS(Carga_Reales!$I:$I,Carga_Reales!$A:$A,$A57,Carga_Reales!$B:$B,$C57),SUMIFS(Proyecciones!$I:$I,Proyecciones!$A:$A,$A57,Proyecciones!$B:$B,$C57))*IF($B57="REAL",1,IF(Resumen!$B$5="Conservador",Supuestos!$B$5,IF(Resumen!$B$5="Optimista",Supuestos!$B$7,Supuestos!$B$6)))</x:f>
        <x:v>0</x:v>
      </x:c>
      <x:c r="K57" s="16" t="n">
        <x:f>IF($B57="REAL",SUMIFS(Carga_Reales!$J:$J,Carga_Reales!$A:$A,$A57,Carga_Reales!$B:$B,$C57),SUMIFS(Proyecciones!$J:$J,Proyecciones!$A:$A,$A57,Proyecciones!$B:$B,$C57))*IF($B57="REAL",1,IF(Resumen!$B$5="Conservador",Supuestos!$B$5,IF(Resumen!$B$5="Optimista",Supuestos!$B$7,Supuestos!$B$6)))</x:f>
        <x:v>0</x:v>
      </x:c>
      <x:c r="L57" s="16" t="n">
        <x:f>IF($B57="REAL",SUMIFS(Carga_Reales!$K:$K,Carga_Reales!$A:$A,$A57,Carga_Reales!$B:$B,$C57),SUMIFS(Proyecciones!$K:$K,Proyecciones!$A:$A,$A57,Proyecciones!$B:$B,$C57))*IF($B57="REAL",1,IF(Resumen!$B$5="Conservador",Supuestos!$E$5,IF(Resumen!$B$5="Optimista",Supuestos!$E$7,Supuestos!$E$6)))</x:f>
        <x:v>73089161.6281478</x:v>
      </x:c>
      <x:c r="M57" s="16" t="n">
        <x:f>IF($B57="REAL",SUMIFS(Carga_Reales!$L:$L,Carga_Reales!$A:$A,$A57,Carga_Reales!$B:$B,$C57),SUMIFS(Proyecciones!$L:$L,Proyecciones!$A:$A,$A57,Proyecciones!$B:$B,$C57))*IF($B57="REAL",1,IF(Resumen!$B$5="Conservador",Supuestos!$E$5,IF(Resumen!$B$5="Optimista",Supuestos!$E$7,Supuestos!$E$6)))</x:f>
        <x:v>75260000</x:v>
      </x:c>
      <x:c r="N57" s="16" t="n">
        <x:f>E57+G57+H57+I57+J57+K57</x:f>
        <x:v>1816463700.45</x:v>
      </x:c>
      <x:c r="O57" s="16" t="n">
        <x:f>E57-F57+G57+H57+I57+J57+K57-L57-M57</x:f>
        <x:v>171551361.39610225</x:v>
      </x:c>
      <x:c r="P57" s="16" t="n">
        <x:f>O57-IF($B57="REAL",SUMIFS(Carga_Reales!$M:$M,Carga_Reales!$A:$A,$A57,Carga_Reales!$B:$B,$C57),SUMIFS(Proyecciones!$M:$M,Proyecciones!$A:$A,$A57,Proyecciones!$B:$B,$C57))-IF($B57="REAL",SUMIFS(Carga_Reales!$N:$N,Carga_Reales!$A:$A,$A57,Carga_Reales!$B:$B,$C57),SUMIFS(Proyecciones!$N:$N,Proyecciones!$A:$A,$A57,Proyecciones!$B:$B,$C57))</x:f>
        <x:v>108908384.90746644</x:v>
      </x:c>
      <x:c r="Q57" s="16" t="n">
        <x:f>IF($B57="REAL",SUMIFS(Carga_Reales!$O:$O,Carga_Reales!$A:$A,$A57,Carga_Reales!$B:$B,$C57),SUMIFS(Proyecciones!$O:$O,Proyecciones!$A:$A,$A57,Proyecciones!$B:$B,$C57))</x:f>
        <x:v>0</x:v>
      </x:c>
      <x:c r="R57" s="16" t="n">
        <x:f>O57-Q57</x:f>
        <x:v>171551361.39610225</x:v>
      </x:c>
      <x:c r="S57" s="16" t="n">
        <x:f>E57-F57</x:f>
        <x:v>295728053.02425003</x:v>
      </x:c>
      <x:c r="T57" s="16" t="n">
        <x:f>L57+M57</x:f>
        <x:v>148349161.62814778</x:v>
      </x:c>
      <x:c r="U57" t="n">
        <x:f>IFERROR((L57+M57)/MAX(1,(S57+G57)/MAX(1,D57)),0)</x:f>
        <x:v>89.10673586078431</x:v>
      </x:c>
    </x:row>
    <x:row r="58">
      <x:c r="A58" s="26" t="n">
        <x:v>46539</x:v>
      </x:c>
      <x:c r="B58" t="str">
        <x:f>IF(EOMONTH($A58,0)&lt;=Resumen!$B$4,"REAL","PROYECTADO")</x:f>
        <x:v>PROYECTADO</x:v>
      </x:c>
      <x:c r="C58" t="str">
        <x:v>TuClick</x:v>
      </x:c>
      <x:c r="D58" s="15" t="n">
        <x:f>IF($B58="REAL",SUMIFS(Carga_Reales!$C:$C,Carga_Reales!$A:$A,$A58,Carga_Reales!$B:$B,$C58),SUMIFS(Proyecciones!$C:$C,Proyecciones!$A:$A,$A58,Proyecciones!$B:$B,$C58))*IF($B58="REAL",1,IF(Resumen!$B$5="Conservador",Supuestos!$B$5,IF(Resumen!$B$5="Optimista",Supuestos!$B$7,Supuestos!$B$6)))</x:f>
        <x:v>73.35</x:v>
      </x:c>
      <x:c r="E58" s="16" t="n">
        <x:f>IF($B58="REAL",SUMIFS(Carga_Reales!$D:$D,Carga_Reales!$A:$A,$A58,Carga_Reales!$B:$B,$C58),SUMIFS(Proyecciones!$D:$D,Proyecciones!$A:$A,$A58,Proyecciones!$B:$B,$C58))*IF($B58="REAL",1,IF(Resumen!$B$5="Conservador",Supuestos!$B$5,IF(Resumen!$B$5="Optimista",Supuestos!$B$7,Supuestos!$B$6))*IF(Resumen!$B$5="Conservador",Supuestos!$C$5,IF(Resumen!$B$5="Optimista",Supuestos!$C$7,Supuestos!$C$6)))</x:f>
        <x:v>512206497.45</x:v>
      </x:c>
      <x:c r="F58" s="16" t="n">
        <x:f>IF($B58="REAL",SUMIFS(Carga_Reales!$E:$E,Carga_Reales!$A:$A,$A58,Carga_Reales!$B:$B,$C58),SUMIFS(Proyecciones!$E:$E,Proyecciones!$A:$A,$A58,Proyecciones!$B:$B,$C58))*IF($B58="REAL",1,IF(Resumen!$B$5="Conservador",Supuestos!$B$5,IF(Resumen!$B$5="Optimista",Supuestos!$B$7,Supuestos!$B$6))*IF(Resumen!$B$5="Conservador",Supuestos!$D$5,IF(Resumen!$B$5="Optimista",Supuestos!$D$7,Supuestos!$D$6)))</x:f>
        <x:v>437987775.969495</x:v>
      </x:c>
      <x:c r="G58" s="16" t="n">
        <x:f>IF($B58="REAL",SUMIFS(Carga_Reales!$F:$F,Carga_Reales!$A:$A,$A58,Carga_Reales!$B:$B,$C58),SUMIFS(Proyecciones!$F:$F,Proyecciones!$A:$A,$A58,Proyecciones!$B:$B,$C58))*IF($B58="REAL",1,IF(Resumen!$B$5="Conservador",Supuestos!$B$5,IF(Resumen!$B$5="Optimista",Supuestos!$B$7,Supuestos!$B$6)))</x:f>
        <x:v>16368052.5</x:v>
      </x:c>
      <x:c r="H58" s="16" t="n">
        <x:f>IF($B58="REAL",SUMIFS(Carga_Reales!$G:$G,Carga_Reales!$A:$A,$A58,Carga_Reales!$B:$B,$C58),SUMIFS(Proyecciones!$G:$G,Proyecciones!$A:$A,$A58,Proyecciones!$B:$B,$C58))*IF($B58="REAL",1,IF(Resumen!$B$5="Conservador",Supuestos!$B$5,IF(Resumen!$B$5="Optimista",Supuestos!$B$7,Supuestos!$B$6)))</x:f>
        <x:v>0</x:v>
      </x:c>
      <x:c r="I58" s="16" t="n">
        <x:f>IF($B58="REAL",SUMIFS(Carga_Reales!$H:$H,Carga_Reales!$A:$A,$A58,Carga_Reales!$B:$B,$C58),SUMIFS(Proyecciones!$H:$H,Proyecciones!$A:$A,$A58,Proyecciones!$B:$B,$C58))*IF($B58="REAL",1,IF(Resumen!$B$5="Conservador",Supuestos!$B$5,IF(Resumen!$B$5="Optimista",Supuestos!$B$7,Supuestos!$B$6)))</x:f>
        <x:v>0</x:v>
      </x:c>
      <x:c r="J58" s="16" t="n">
        <x:f>IF($B58="REAL",SUMIFS(Carga_Reales!$I:$I,Carga_Reales!$A:$A,$A58,Carga_Reales!$B:$B,$C58),SUMIFS(Proyecciones!$I:$I,Proyecciones!$A:$A,$A58,Proyecciones!$B:$B,$C58))*IF($B58="REAL",1,IF(Resumen!$B$5="Conservador",Supuestos!$B$5,IF(Resumen!$B$5="Optimista",Supuestos!$B$7,Supuestos!$B$6)))</x:f>
        <x:v>0</x:v>
      </x:c>
      <x:c r="K58" s="16" t="n">
        <x:f>IF($B58="REAL",SUMIFS(Carga_Reales!$J:$J,Carga_Reales!$A:$A,$A58,Carga_Reales!$B:$B,$C58),SUMIFS(Proyecciones!$J:$J,Proyecciones!$A:$A,$A58,Proyecciones!$B:$B,$C58))*IF($B58="REAL",1,IF(Resumen!$B$5="Conservador",Supuestos!$B$5,IF(Resumen!$B$5="Optimista",Supuestos!$B$7,Supuestos!$B$6)))</x:f>
        <x:v>0</x:v>
      </x:c>
      <x:c r="L58" s="16" t="n">
        <x:f>IF($B58="REAL",SUMIFS(Carga_Reales!$K:$K,Carga_Reales!$A:$A,$A58,Carga_Reales!$B:$B,$C58),SUMIFS(Proyecciones!$K:$K,Proyecciones!$A:$A,$A58,Proyecciones!$B:$B,$C58))*IF($B58="REAL",1,IF(Resumen!$B$5="Conservador",Supuestos!$E$5,IF(Resumen!$B$5="Optimista",Supuestos!$E$7,Supuestos!$E$6)))</x:f>
        <x:v>31865823.5635883</x:v>
      </x:c>
      <x:c r="M58" s="16" t="n">
        <x:f>IF($B58="REAL",SUMIFS(Carga_Reales!$L:$L,Carga_Reales!$A:$A,$A58,Carga_Reales!$B:$B,$C58),SUMIFS(Proyecciones!$L:$L,Proyecciones!$A:$A,$A58,Proyecciones!$B:$B,$C58))*IF($B58="REAL",1,IF(Resumen!$B$5="Conservador",Supuestos!$E$5,IF(Resumen!$B$5="Optimista",Supuestos!$E$7,Supuestos!$E$6)))</x:f>
        <x:v>42400000</x:v>
      </x:c>
      <x:c r="N58" s="16" t="n">
        <x:f>E58+G58+H58+I58+J58+K58</x:f>
        <x:v>528574549.95</x:v>
      </x:c>
      <x:c r="O58" s="16" t="n">
        <x:f>E58-F58+G58+H58+I58+J58+K58-L58-M58</x:f>
        <x:v>16320950.41691669</x:v>
      </x:c>
      <x:c r="P58" s="16" t="n">
        <x:f>O58-IF($B58="REAL",SUMIFS(Carga_Reales!$M:$M,Carga_Reales!$A:$A,$A58,Carga_Reales!$B:$B,$C58),SUMIFS(Proyecciones!$M:$M,Proyecciones!$A:$A,$A58,Proyecciones!$B:$B,$C58))-IF($B58="REAL",SUMIFS(Carga_Reales!$N:$N,Carga_Reales!$A:$A,$A58,Carga_Reales!$B:$B,$C58),SUMIFS(Proyecciones!$N:$N,Proyecciones!$A:$A,$A58,Proyecciones!$B:$B,$C58))</x:f>
        <x:v>9308617.77099584</x:v>
      </x:c>
      <x:c r="Q58" s="16" t="n">
        <x:f>IF($B58="REAL",SUMIFS(Carga_Reales!$O:$O,Carga_Reales!$A:$A,$A58,Carga_Reales!$B:$B,$C58),SUMIFS(Proyecciones!$O:$O,Proyecciones!$A:$A,$A58,Proyecciones!$B:$B,$C58))</x:f>
        <x:v>0</x:v>
      </x:c>
      <x:c r="R58" s="16" t="n">
        <x:f>O58-Q58</x:f>
        <x:v>16320950.41691669</x:v>
      </x:c>
      <x:c r="S58" s="16" t="n">
        <x:f>E58-F58</x:f>
        <x:v>74218721.48050499</x:v>
      </x:c>
      <x:c r="T58" s="16" t="n">
        <x:f>L58+M58</x:f>
        <x:v>74265823.56358829</x:v>
      </x:c>
      <x:c r="U58" t="n">
        <x:f>IFERROR((L58+M58)/MAX(1,(S58+G58)/MAX(1,D58)),0)</x:f>
        <x:v>60.13458608826853</x:v>
      </x:c>
    </x:row>
    <x:row r="59">
      <x:c r="A59" s="26" t="n">
        <x:v>46569</x:v>
      </x:c>
      <x:c r="B59" t="str">
        <x:f>IF(EOMONTH($A59,0)&lt;=Resumen!$B$4,"REAL","PROYECTADO")</x:f>
        <x:v>PROYECTADO</x:v>
      </x:c>
      <x:c r="C59" t="str">
        <x:v>Moto para Todos</x:v>
      </x:c>
      <x:c r="D59" s="15" t="n">
        <x:f>IF($B59="REAL",SUMIFS(Carga_Reales!$C:$C,Carga_Reales!$A:$A,$A59,Carga_Reales!$B:$B,$C59),SUMIFS(Proyecciones!$C:$C,Proyecciones!$A:$A,$A59,Proyecciones!$B:$B,$C59))*IF($B59="REAL",1,IF(Resumen!$B$5="Conservador",Supuestos!$B$5,IF(Resumen!$B$5="Optimista",Supuestos!$B$7,Supuestos!$B$6)))</x:f>
        <x:v>187.860655737705</x:v>
      </x:c>
      <x:c r="E59" s="16" t="n">
        <x:f>IF($B59="REAL",SUMIFS(Carga_Reales!$D:$D,Carga_Reales!$A:$A,$A59,Carga_Reales!$B:$B,$C59),SUMIFS(Proyecciones!$D:$D,Proyecciones!$A:$A,$A59,Proyecciones!$B:$B,$C59))*IF($B59="REAL",1,IF(Resumen!$B$5="Conservador",Supuestos!$B$5,IF(Resumen!$B$5="Optimista",Supuestos!$B$7,Supuestos!$B$6))*IF(Resumen!$B$5="Conservador",Supuestos!$C$5,IF(Resumen!$B$5="Optimista",Supuestos!$C$7,Supuestos!$C$6)))</x:f>
        <x:v>1071175447.47541</x:v>
      </x:c>
      <x:c r="F59" s="16" t="n">
        <x:f>IF($B59="REAL",SUMIFS(Carga_Reales!$E:$E,Carga_Reales!$A:$A,$A59,Carga_Reales!$B:$B,$C59),SUMIFS(Proyecciones!$E:$E,Proyecciones!$A:$A,$A59,Proyecciones!$B:$B,$C59))*IF($B59="REAL",1,IF(Resumen!$B$5="Conservador",Supuestos!$B$5,IF(Resumen!$B$5="Optimista",Supuestos!$B$7,Supuestos!$B$6))*IF(Resumen!$B$5="Conservador",Supuestos!$D$5,IF(Resumen!$B$5="Optimista",Supuestos!$D$7,Supuestos!$D$6)))</x:f>
        <x:v>882755686.264485</x:v>
      </x:c>
      <x:c r="G59" s="16" t="n">
        <x:f>IF($B59="REAL",SUMIFS(Carga_Reales!$F:$F,Carga_Reales!$A:$A,$A59,Carga_Reales!$B:$B,$C59),SUMIFS(Proyecciones!$F:$F,Proyecciones!$A:$A,$A59,Proyecciones!$B:$B,$C59))*IF($B59="REAL",1,IF(Resumen!$B$5="Conservador",Supuestos!$B$5,IF(Resumen!$B$5="Optimista",Supuestos!$B$7,Supuestos!$B$6)))</x:f>
        <x:v>31936311.4754098</x:v>
      </x:c>
      <x:c r="H59" s="16" t="n">
        <x:f>IF($B59="REAL",SUMIFS(Carga_Reales!$G:$G,Carga_Reales!$A:$A,$A59,Carga_Reales!$B:$B,$C59),SUMIFS(Proyecciones!$G:$G,Proyecciones!$A:$A,$A59,Proyecciones!$B:$B,$C59))*IF($B59="REAL",1,IF(Resumen!$B$5="Conservador",Supuestos!$B$5,IF(Resumen!$B$5="Optimista",Supuestos!$B$7,Supuestos!$B$6)))</x:f>
        <x:v>0</x:v>
      </x:c>
      <x:c r="I59" s="16" t="n">
        <x:f>IF($B59="REAL",SUMIFS(Carga_Reales!$H:$H,Carga_Reales!$A:$A,$A59,Carga_Reales!$B:$B,$C59),SUMIFS(Proyecciones!$H:$H,Proyecciones!$A:$A,$A59,Proyecciones!$B:$B,$C59))*IF($B59="REAL",1,IF(Resumen!$B$5="Conservador",Supuestos!$B$5,IF(Resumen!$B$5="Optimista",Supuestos!$B$7,Supuestos!$B$6)))</x:f>
        <x:v>0</x:v>
      </x:c>
      <x:c r="J59" s="16" t="n">
        <x:f>IF($B59="REAL",SUMIFS(Carga_Reales!$I:$I,Carga_Reales!$A:$A,$A59,Carga_Reales!$B:$B,$C59),SUMIFS(Proyecciones!$I:$I,Proyecciones!$A:$A,$A59,Proyecciones!$B:$B,$C59))*IF($B59="REAL",1,IF(Resumen!$B$5="Conservador",Supuestos!$B$5,IF(Resumen!$B$5="Optimista",Supuestos!$B$7,Supuestos!$B$6)))</x:f>
        <x:v>0</x:v>
      </x:c>
      <x:c r="K59" s="16" t="n">
        <x:f>IF($B59="REAL",SUMIFS(Carga_Reales!$J:$J,Carga_Reales!$A:$A,$A59,Carga_Reales!$B:$B,$C59),SUMIFS(Proyecciones!$J:$J,Proyecciones!$A:$A,$A59,Proyecciones!$B:$B,$C59))*IF($B59="REAL",1,IF(Resumen!$B$5="Conservador",Supuestos!$B$5,IF(Resumen!$B$5="Optimista",Supuestos!$B$7,Supuestos!$B$6)))</x:f>
        <x:v>54152485.4778314</x:v>
      </x:c>
      <x:c r="L59" s="16" t="n">
        <x:f>IF($B59="REAL",SUMIFS(Carga_Reales!$K:$K,Carga_Reales!$A:$A,$A59,Carga_Reales!$B:$B,$C59),SUMIFS(Proyecciones!$K:$K,Proyecciones!$A:$A,$A59,Proyecciones!$B:$B,$C59))*IF($B59="REAL",1,IF(Resumen!$B$5="Conservador",Supuestos!$E$5,IF(Resumen!$B$5="Optimista",Supuestos!$E$7,Supuestos!$E$6)))</x:f>
        <x:v>90774371.830064</x:v>
      </x:c>
      <x:c r="M59" s="16" t="n">
        <x:f>IF($B59="REAL",SUMIFS(Carga_Reales!$L:$L,Carga_Reales!$A:$A,$A59,Carga_Reales!$B:$B,$C59),SUMIFS(Proyecciones!$L:$L,Proyecciones!$A:$A,$A59,Proyecciones!$B:$B,$C59))*IF($B59="REAL",1,IF(Resumen!$B$5="Conservador",Supuestos!$E$5,IF(Resumen!$B$5="Optimista",Supuestos!$E$7,Supuestos!$E$6)))</x:f>
        <x:v>51304000</x:v>
      </x:c>
      <x:c r="N59" s="16" t="n">
        <x:f>E59+G59+H59+I59+J59+K59</x:f>
        <x:v>1157264244.428651</x:v>
      </x:c>
      <x:c r="O59" s="16" t="n">
        <x:f>E59-F59+G59+H59+I59+J59+K59-L59-M59</x:f>
        <x:v>132430186.33410221</x:v>
      </x:c>
      <x:c r="P59" s="16" t="n">
        <x:f>O59-IF($B59="REAL",SUMIFS(Carga_Reales!$M:$M,Carga_Reales!$A:$A,$A59,Carga_Reales!$B:$B,$C59),SUMIFS(Proyecciones!$M:$M,Proyecciones!$A:$A,$A59,Proyecciones!$B:$B,$C59))-IF($B59="REAL",SUMIFS(Carga_Reales!$N:$N,Carga_Reales!$A:$A,$A59,Carga_Reales!$B:$B,$C59),SUMIFS(Proyecciones!$N:$N,Proyecciones!$A:$A,$A59,Proyecciones!$B:$B,$C59))</x:f>
        <x:v>83479621.11716661</x:v>
      </x:c>
      <x:c r="Q59" s="16" t="n">
        <x:f>IF($B59="REAL",SUMIFS(Carga_Reales!$O:$O,Carga_Reales!$A:$A,$A59,Carga_Reales!$B:$B,$C59),SUMIFS(Proyecciones!$O:$O,Proyecciones!$A:$A,$A59,Proyecciones!$B:$B,$C59))</x:f>
        <x:v>0</x:v>
      </x:c>
      <x:c r="R59" s="16" t="n">
        <x:f>O59-Q59</x:f>
        <x:v>132430186.33410221</x:v>
      </x:c>
      <x:c r="S59" s="16" t="n">
        <x:f>E59-F59</x:f>
        <x:v>188419761.21092498</x:v>
      </x:c>
      <x:c r="T59" s="16" t="n">
        <x:f>L59+M59</x:f>
        <x:v>142078371.830064</x:v>
      </x:c>
      <x:c r="U59" t="n">
        <x:f>IFERROR((L59+M59)/MAX(1,(S59+G59)/MAX(1,D59)),0)</x:f>
        <x:v>121.12639226482509</x:v>
      </x:c>
    </x:row>
    <x:row r="60">
      <x:c r="A60" s="26" t="n">
        <x:v>46569</x:v>
      </x:c>
      <x:c r="B60" t="str">
        <x:f>IF(EOMONTH($A60,0)&lt;=Resumen!$B$4,"REAL","PROYECTADO")</x:f>
        <x:v>PROYECTADO</x:v>
      </x:c>
      <x:c r="C60" t="str">
        <x:v>Verificarte</x:v>
      </x:c>
      <x:c r="D60" s="15" t="n">
        <x:f>IF($B60="REAL",SUMIFS(Carga_Reales!$C:$C,Carga_Reales!$A:$A,$A60,Carga_Reales!$B:$B,$C60),SUMIFS(Proyecciones!$C:$C,Proyecciones!$A:$A,$A60,Proyecciones!$B:$B,$C60))*IF($B60="REAL",1,IF(Resumen!$B$5="Conservador",Supuestos!$B$5,IF(Resumen!$B$5="Optimista",Supuestos!$B$7,Supuestos!$B$6)))</x:f>
        <x:v>195.65</x:v>
      </x:c>
      <x:c r="E60" s="16" t="n">
        <x:f>IF($B60="REAL",SUMIFS(Carga_Reales!$D:$D,Carga_Reales!$A:$A,$A60,Carga_Reales!$B:$B,$C60),SUMIFS(Proyecciones!$D:$D,Proyecciones!$A:$A,$A60,Proyecciones!$B:$B,$C60))*IF($B60="REAL",1,IF(Resumen!$B$5="Conservador",Supuestos!$B$5,IF(Resumen!$B$5="Optimista",Supuestos!$B$7,Supuestos!$B$6))*IF(Resumen!$B$5="Conservador",Supuestos!$C$5,IF(Resumen!$B$5="Optimista",Supuestos!$C$7,Supuestos!$C$6)))</x:f>
        <x:v>1824937700.95</x:v>
      </x:c>
      <x:c r="F60" s="16" t="n">
        <x:f>IF($B60="REAL",SUMIFS(Carga_Reales!$E:$E,Carga_Reales!$A:$A,$A60,Carga_Reales!$B:$B,$C60),SUMIFS(Proyecciones!$E:$E,Proyecciones!$A:$A,$A60,Proyecciones!$B:$B,$C60))*IF($B60="REAL",1,IF(Resumen!$B$5="Conservador",Supuestos!$B$5,IF(Resumen!$B$5="Optimista",Supuestos!$B$7,Supuestos!$B$6))*IF(Resumen!$B$5="Conservador",Supuestos!$D$5,IF(Resumen!$B$5="Optimista",Supuestos!$D$7,Supuestos!$D$6)))</x:f>
        <x:v>1523822980.29325</x:v>
      </x:c>
      <x:c r="G60" s="16" t="n">
        <x:f>IF($B60="REAL",SUMIFS(Carga_Reales!$F:$F,Carga_Reales!$A:$A,$A60,Carga_Reales!$B:$B,$C60),SUMIFS(Proyecciones!$F:$F,Proyecciones!$A:$A,$A60,Proyecciones!$B:$B,$C60))*IF($B60="REAL",1,IF(Resumen!$B$5="Conservador",Supuestos!$B$5,IF(Resumen!$B$5="Optimista",Supuestos!$B$7,Supuestos!$B$6)))</x:f>
        <x:v>24612770</x:v>
      </x:c>
      <x:c r="H60" s="16" t="n">
        <x:f>IF($B60="REAL",SUMIFS(Carga_Reales!$G:$G,Carga_Reales!$A:$A,$A60,Carga_Reales!$B:$B,$C60),SUMIFS(Proyecciones!$G:$G,Proyecciones!$A:$A,$A60,Proyecciones!$B:$B,$C60))*IF($B60="REAL",1,IF(Resumen!$B$5="Conservador",Supuestos!$B$5,IF(Resumen!$B$5="Optimista",Supuestos!$B$7,Supuestos!$B$6)))</x:f>
        <x:v>0</x:v>
      </x:c>
      <x:c r="I60" s="16" t="n">
        <x:f>IF($B60="REAL",SUMIFS(Carga_Reales!$H:$H,Carga_Reales!$A:$A,$A60,Carga_Reales!$B:$B,$C60),SUMIFS(Proyecciones!$H:$H,Proyecciones!$A:$A,$A60,Proyecciones!$B:$B,$C60))*IF($B60="REAL",1,IF(Resumen!$B$5="Conservador",Supuestos!$B$5,IF(Resumen!$B$5="Optimista",Supuestos!$B$7,Supuestos!$B$6)))</x:f>
        <x:v>0</x:v>
      </x:c>
      <x:c r="J60" s="16" t="n">
        <x:f>IF($B60="REAL",SUMIFS(Carga_Reales!$I:$I,Carga_Reales!$A:$A,$A60,Carga_Reales!$B:$B,$C60),SUMIFS(Proyecciones!$I:$I,Proyecciones!$A:$A,$A60,Proyecciones!$B:$B,$C60))*IF($B60="REAL",1,IF(Resumen!$B$5="Conservador",Supuestos!$B$5,IF(Resumen!$B$5="Optimista",Supuestos!$B$7,Supuestos!$B$6)))</x:f>
        <x:v>0</x:v>
      </x:c>
      <x:c r="K60" s="16" t="n">
        <x:f>IF($B60="REAL",SUMIFS(Carga_Reales!$J:$J,Carga_Reales!$A:$A,$A60,Carga_Reales!$B:$B,$C60),SUMIFS(Proyecciones!$J:$J,Proyecciones!$A:$A,$A60,Proyecciones!$B:$B,$C60))*IF($B60="REAL",1,IF(Resumen!$B$5="Conservador",Supuestos!$B$5,IF(Resumen!$B$5="Optimista",Supuestos!$B$7,Supuestos!$B$6)))</x:f>
        <x:v>0</x:v>
      </x:c>
      <x:c r="L60" s="16" t="n">
        <x:f>IF($B60="REAL",SUMIFS(Carga_Reales!$K:$K,Carga_Reales!$A:$A,$A60,Carga_Reales!$B:$B,$C60),SUMIFS(Proyecciones!$K:$K,Proyecciones!$A:$A,$A60,Proyecciones!$B:$B,$C60))*IF($B60="REAL",1,IF(Resumen!$B$5="Conservador",Supuestos!$E$5,IF(Resumen!$B$5="Optimista",Supuestos!$E$7,Supuestos!$E$6)))</x:f>
        <x:v>73089161.6281478</x:v>
      </x:c>
      <x:c r="M60" s="16" t="n">
        <x:f>IF($B60="REAL",SUMIFS(Carga_Reales!$L:$L,Carga_Reales!$A:$A,$A60,Carga_Reales!$B:$B,$C60),SUMIFS(Proyecciones!$L:$L,Proyecciones!$A:$A,$A60,Proyecciones!$B:$B,$C60))*IF($B60="REAL",1,IF(Resumen!$B$5="Conservador",Supuestos!$E$5,IF(Resumen!$B$5="Optimista",Supuestos!$E$7,Supuestos!$E$6)))</x:f>
        <x:v>75260000</x:v>
      </x:c>
      <x:c r="N60" s="16" t="n">
        <x:f>E60+G60+H60+I60+J60+K60</x:f>
        <x:v>1849550470.95</x:v>
      </x:c>
      <x:c r="O60" s="16" t="n">
        <x:f>E60-F60+G60+H60+I60+J60+K60-L60-M60</x:f>
        <x:v>177378329.02860218</x:v>
      </x:c>
      <x:c r="P60" s="16" t="n">
        <x:f>O60-IF($B60="REAL",SUMIFS(Carga_Reales!$M:$M,Carga_Reales!$A:$A,$A60,Carga_Reales!$B:$B,$C60),SUMIFS(Proyecciones!$M:$M,Proyecciones!$A:$A,$A60,Proyecciones!$B:$B,$C60))-IF($B60="REAL",SUMIFS(Carga_Reales!$N:$N,Carga_Reales!$A:$A,$A60,Carga_Reales!$B:$B,$C60),SUMIFS(Proyecciones!$N:$N,Proyecciones!$A:$A,$A60,Proyecciones!$B:$B,$C60))</x:f>
        <x:v>112695913.86859138</x:v>
      </x:c>
      <x:c r="Q60" s="16" t="n">
        <x:f>IF($B60="REAL",SUMIFS(Carga_Reales!$O:$O,Carga_Reales!$A:$A,$A60,Carga_Reales!$B:$B,$C60),SUMIFS(Proyecciones!$O:$O,Proyecciones!$A:$A,$A60,Proyecciones!$B:$B,$C60))</x:f>
        <x:v>0</x:v>
      </x:c>
      <x:c r="R60" s="16" t="n">
        <x:f>O60-Q60</x:f>
        <x:v>177378329.02860218</x:v>
      </x:c>
      <x:c r="S60" s="16" t="n">
        <x:f>E60-F60</x:f>
        <x:v>301114720.65674996</x:v>
      </x:c>
      <x:c r="T60" s="16" t="n">
        <x:f>L60+M60</x:f>
        <x:v>148349161.62814778</x:v>
      </x:c>
      <x:c r="U60" t="n">
        <x:f>IFERROR((L60+M60)/MAX(1,(S60+G60)/MAX(1,D60)),0)</x:f>
        <x:v>89.10673586078433</x:v>
      </x:c>
    </x:row>
    <x:row r="61">
      <x:c r="A61" s="26" t="n">
        <x:v>46569</x:v>
      </x:c>
      <x:c r="B61" t="str">
        <x:f>IF(EOMONTH($A61,0)&lt;=Resumen!$B$4,"REAL","PROYECTADO")</x:f>
        <x:v>PROYECTADO</x:v>
      </x:c>
      <x:c r="C61" t="str">
        <x:v>TuClick</x:v>
      </x:c>
      <x:c r="D61" s="15" t="n">
        <x:f>IF($B61="REAL",SUMIFS(Carga_Reales!$C:$C,Carga_Reales!$A:$A,$A61,Carga_Reales!$B:$B,$C61),SUMIFS(Proyecciones!$C:$C,Proyecciones!$A:$A,$A61,Proyecciones!$B:$B,$C61))*IF($B61="REAL",1,IF(Resumen!$B$5="Conservador",Supuestos!$B$5,IF(Resumen!$B$5="Optimista",Supuestos!$B$7,Supuestos!$B$6)))</x:f>
        <x:v>74.6860655737705</x:v>
      </x:c>
      <x:c r="E61" s="16" t="n">
        <x:f>IF($B61="REAL",SUMIFS(Carga_Reales!$D:$D,Carga_Reales!$A:$A,$A61,Carga_Reales!$B:$B,$C61),SUMIFS(Proyecciones!$D:$D,Proyecciones!$A:$A,$A61,Proyecciones!$B:$B,$C61))*IF($B61="REAL",1,IF(Resumen!$B$5="Conservador",Supuestos!$B$5,IF(Resumen!$B$5="Optimista",Supuestos!$B$7,Supuestos!$B$6))*IF(Resumen!$B$5="Conservador",Supuestos!$C$5,IF(Resumen!$B$5="Optimista",Supuestos!$C$7,Supuestos!$C$6)))</x:f>
        <x:v>521536306.146721</x:v>
      </x:c>
      <x:c r="F61" s="16" t="n">
        <x:f>IF($B61="REAL",SUMIFS(Carga_Reales!$E:$E,Carga_Reales!$A:$A,$A61,Carga_Reales!$B:$B,$C61),SUMIFS(Proyecciones!$E:$E,Proyecciones!$A:$A,$A61,Proyecciones!$B:$B,$C61))*IF($B61="REAL",1,IF(Resumen!$B$5="Conservador",Supuestos!$B$5,IF(Resumen!$B$5="Optimista",Supuestos!$B$7,Supuestos!$B$6))*IF(Resumen!$B$5="Conservador",Supuestos!$D$5,IF(Resumen!$B$5="Optimista",Supuestos!$D$7,Supuestos!$D$6)))</x:f>
        <x:v>445965695.386061</x:v>
      </x:c>
      <x:c r="G61" s="16" t="n">
        <x:f>IF($B61="REAL",SUMIFS(Carga_Reales!$F:$F,Carga_Reales!$A:$A,$A61,Carga_Reales!$B:$B,$C61),SUMIFS(Proyecciones!$F:$F,Proyecciones!$A:$A,$A61,Proyecciones!$B:$B,$C61))*IF($B61="REAL",1,IF(Resumen!$B$5="Conservador",Supuestos!$B$5,IF(Resumen!$B$5="Optimista",Supuestos!$B$7,Supuestos!$B$6)))</x:f>
        <x:v>16666195.5327869</x:v>
      </x:c>
      <x:c r="H61" s="16" t="n">
        <x:f>IF($B61="REAL",SUMIFS(Carga_Reales!$G:$G,Carga_Reales!$A:$A,$A61,Carga_Reales!$B:$B,$C61),SUMIFS(Proyecciones!$G:$G,Proyecciones!$A:$A,$A61,Proyecciones!$B:$B,$C61))*IF($B61="REAL",1,IF(Resumen!$B$5="Conservador",Supuestos!$B$5,IF(Resumen!$B$5="Optimista",Supuestos!$B$7,Supuestos!$B$6)))</x:f>
        <x:v>0</x:v>
      </x:c>
      <x:c r="I61" s="16" t="n">
        <x:f>IF($B61="REAL",SUMIFS(Carga_Reales!$H:$H,Carga_Reales!$A:$A,$A61,Carga_Reales!$B:$B,$C61),SUMIFS(Proyecciones!$H:$H,Proyecciones!$A:$A,$A61,Proyecciones!$B:$B,$C61))*IF($B61="REAL",1,IF(Resumen!$B$5="Conservador",Supuestos!$B$5,IF(Resumen!$B$5="Optimista",Supuestos!$B$7,Supuestos!$B$6)))</x:f>
        <x:v>0</x:v>
      </x:c>
      <x:c r="J61" s="16" t="n">
        <x:f>IF($B61="REAL",SUMIFS(Carga_Reales!$I:$I,Carga_Reales!$A:$A,$A61,Carga_Reales!$B:$B,$C61),SUMIFS(Proyecciones!$I:$I,Proyecciones!$A:$A,$A61,Proyecciones!$B:$B,$C61))*IF($B61="REAL",1,IF(Resumen!$B$5="Conservador",Supuestos!$B$5,IF(Resumen!$B$5="Optimista",Supuestos!$B$7,Supuestos!$B$6)))</x:f>
        <x:v>0</x:v>
      </x:c>
      <x:c r="K61" s="16" t="n">
        <x:f>IF($B61="REAL",SUMIFS(Carga_Reales!$J:$J,Carga_Reales!$A:$A,$A61,Carga_Reales!$B:$B,$C61),SUMIFS(Proyecciones!$J:$J,Proyecciones!$A:$A,$A61,Proyecciones!$B:$B,$C61))*IF($B61="REAL",1,IF(Resumen!$B$5="Conservador",Supuestos!$B$5,IF(Resumen!$B$5="Optimista",Supuestos!$B$7,Supuestos!$B$6)))</x:f>
        <x:v>0</x:v>
      </x:c>
      <x:c r="L61" s="16" t="n">
        <x:f>IF($B61="REAL",SUMIFS(Carga_Reales!$K:$K,Carga_Reales!$A:$A,$A61,Carga_Reales!$B:$B,$C61),SUMIFS(Proyecciones!$K:$K,Proyecciones!$A:$A,$A61,Proyecciones!$B:$B,$C61))*IF($B61="REAL",1,IF(Resumen!$B$5="Conservador",Supuestos!$E$5,IF(Resumen!$B$5="Optimista",Supuestos!$E$7,Supuestos!$E$6)))</x:f>
        <x:v>31865823.5635883</x:v>
      </x:c>
      <x:c r="M61" s="16" t="n">
        <x:f>IF($B61="REAL",SUMIFS(Carga_Reales!$L:$L,Carga_Reales!$A:$A,$A61,Carga_Reales!$B:$B,$C61),SUMIFS(Proyecciones!$L:$L,Proyecciones!$A:$A,$A61,Proyecciones!$B:$B,$C61))*IF($B61="REAL",1,IF(Resumen!$B$5="Conservador",Supuestos!$E$5,IF(Resumen!$B$5="Optimista",Supuestos!$E$7,Supuestos!$E$6)))</x:f>
        <x:v>42400000</x:v>
      </x:c>
      <x:c r="N61" s="16" t="n">
        <x:f>E61+G61+H61+I61+J61+K61</x:f>
        <x:v>538202501.6795079</x:v>
      </x:c>
      <x:c r="O61" s="16" t="n">
        <x:f>E61-F61+G61+H61+I61+J61+K61-L61-M61</x:f>
        <x:v>17970982.7298586</x:v>
      </x:c>
      <x:c r="P61" s="16" t="n">
        <x:f>O61-IF($B61="REAL",SUMIFS(Carga_Reales!$M:$M,Carga_Reales!$A:$A,$A61,Carga_Reales!$B:$B,$C61),SUMIFS(Proyecciones!$M:$M,Proyecciones!$A:$A,$A61,Proyecciones!$B:$B,$C61))-IF($B61="REAL",SUMIFS(Carga_Reales!$N:$N,Carga_Reales!$A:$A,$A61,Carga_Reales!$B:$B,$C61),SUMIFS(Proyecciones!$N:$N,Proyecciones!$A:$A,$A61,Proyecciones!$B:$B,$C61))</x:f>
        <x:v>10381138.77440811</x:v>
      </x:c>
      <x:c r="Q61" s="16" t="n">
        <x:f>IF($B61="REAL",SUMIFS(Carga_Reales!$O:$O,Carga_Reales!$A:$A,$A61,Carga_Reales!$B:$B,$C61),SUMIFS(Proyecciones!$O:$O,Proyecciones!$A:$A,$A61,Proyecciones!$B:$B,$C61))</x:f>
        <x:v>0</x:v>
      </x:c>
      <x:c r="R61" s="16" t="n">
        <x:f>O61-Q61</x:f>
        <x:v>17970982.7298586</x:v>
      </x:c>
      <x:c r="S61" s="16" t="n">
        <x:f>E61-F61</x:f>
        <x:v>75570610.76066</x:v>
      </x:c>
      <x:c r="T61" s="16" t="n">
        <x:f>L61+M61</x:f>
        <x:v>74265823.56358829</x:v>
      </x:c>
      <x:c r="U61" t="n">
        <x:f>IFERROR((L61+M61)/MAX(1,(S61+G61)/MAX(1,D61)),0)</x:f>
        <x:v>60.13458608826847</x:v>
      </x:c>
    </x:row>
    <x:row r="62">
      <x:c r="A62" s="26" t="n">
        <x:v>46600</x:v>
      </x:c>
      <x:c r="B62" t="str">
        <x:f>IF(EOMONTH($A62,0)&lt;=Resumen!$B$4,"REAL","PROYECTADO")</x:f>
        <x:v>PROYECTADO</x:v>
      </x:c>
      <x:c r="C62" t="str">
        <x:v>Moto para Todos</x:v>
      </x:c>
      <x:c r="D62" s="15" t="n">
        <x:f>IF($B62="REAL",SUMIFS(Carga_Reales!$C:$C,Carga_Reales!$A:$A,$A62,Carga_Reales!$B:$B,$C62),SUMIFS(Proyecciones!$C:$C,Proyecciones!$A:$A,$A62,Proyecciones!$B:$B,$C62))*IF($B62="REAL",1,IF(Resumen!$B$5="Conservador",Supuestos!$B$5,IF(Resumen!$B$5="Optimista",Supuestos!$B$7,Supuestos!$B$6)))</x:f>
        <x:v>191.333333333333</x:v>
      </x:c>
      <x:c r="E62" s="16" t="n">
        <x:f>IF($B62="REAL",SUMIFS(Carga_Reales!$D:$D,Carga_Reales!$A:$A,$A62,Carga_Reales!$B:$B,$C62),SUMIFS(Proyecciones!$D:$D,Proyecciones!$A:$A,$A62,Proyecciones!$B:$B,$C62))*IF($B62="REAL",1,IF(Resumen!$B$5="Conservador",Supuestos!$B$5,IF(Resumen!$B$5="Optimista",Supuestos!$B$7,Supuestos!$B$6))*IF(Resumen!$B$5="Conservador",Supuestos!$C$5,IF(Resumen!$B$5="Optimista",Supuestos!$C$7,Supuestos!$C$6)))</x:f>
        <x:v>1090976544</x:v>
      </x:c>
      <x:c r="F62" s="16" t="n">
        <x:f>IF($B62="REAL",SUMIFS(Carga_Reales!$E:$E,Carga_Reales!$A:$A,$A62,Carga_Reales!$B:$B,$C62),SUMIFS(Proyecciones!$E:$E,Proyecciones!$A:$A,$A62,Proyecciones!$B:$B,$C62))*IF($B62="REAL",1,IF(Resumen!$B$5="Conservador",Supuestos!$B$5,IF(Resumen!$B$5="Optimista",Supuestos!$B$7,Supuestos!$B$6))*IF(Resumen!$B$5="Conservador",Supuestos!$D$5,IF(Resumen!$B$5="Optimista",Supuestos!$D$7,Supuestos!$D$6)))</x:f>
        <x:v>899073769.9104</x:v>
      </x:c>
      <x:c r="G62" s="16" t="n">
        <x:f>IF($B62="REAL",SUMIFS(Carga_Reales!$F:$F,Carga_Reales!$A:$A,$A62,Carga_Reales!$B:$B,$C62),SUMIFS(Proyecciones!$F:$F,Proyecciones!$A:$A,$A62,Proyecciones!$B:$B,$C62))*IF($B62="REAL",1,IF(Resumen!$B$5="Conservador",Supuestos!$B$5,IF(Resumen!$B$5="Optimista",Supuestos!$B$7,Supuestos!$B$6)))</x:f>
        <x:v>32526666.6666667</x:v>
      </x:c>
      <x:c r="H62" s="16" t="n">
        <x:f>IF($B62="REAL",SUMIFS(Carga_Reales!$G:$G,Carga_Reales!$A:$A,$A62,Carga_Reales!$B:$B,$C62),SUMIFS(Proyecciones!$G:$G,Proyecciones!$A:$A,$A62,Proyecciones!$B:$B,$C62))*IF($B62="REAL",1,IF(Resumen!$B$5="Conservador",Supuestos!$B$5,IF(Resumen!$B$5="Optimista",Supuestos!$B$7,Supuestos!$B$6)))</x:f>
        <x:v>0</x:v>
      </x:c>
      <x:c r="I62" s="16" t="n">
        <x:f>IF($B62="REAL",SUMIFS(Carga_Reales!$H:$H,Carga_Reales!$A:$A,$A62,Carga_Reales!$B:$B,$C62),SUMIFS(Proyecciones!$H:$H,Proyecciones!$A:$A,$A62,Proyecciones!$B:$B,$C62))*IF($B62="REAL",1,IF(Resumen!$B$5="Conservador",Supuestos!$B$5,IF(Resumen!$B$5="Optimista",Supuestos!$B$7,Supuestos!$B$6)))</x:f>
        <x:v>0</x:v>
      </x:c>
      <x:c r="J62" s="16" t="n">
        <x:f>IF($B62="REAL",SUMIFS(Carga_Reales!$I:$I,Carga_Reales!$A:$A,$A62,Carga_Reales!$B:$B,$C62),SUMIFS(Proyecciones!$I:$I,Proyecciones!$A:$A,$A62,Proyecciones!$B:$B,$C62))*IF($B62="REAL",1,IF(Resumen!$B$5="Conservador",Supuestos!$B$5,IF(Resumen!$B$5="Optimista",Supuestos!$B$7,Supuestos!$B$6)))</x:f>
        <x:v>0</x:v>
      </x:c>
      <x:c r="K62" s="16" t="n">
        <x:f>IF($B62="REAL",SUMIFS(Carga_Reales!$J:$J,Carga_Reales!$A:$A,$A62,Carga_Reales!$B:$B,$C62),SUMIFS(Proyecciones!$J:$J,Proyecciones!$A:$A,$A62,Proyecciones!$B:$B,$C62))*IF($B62="REAL",1,IF(Resumen!$B$5="Conservador",Supuestos!$B$5,IF(Resumen!$B$5="Optimista",Supuestos!$B$7,Supuestos!$B$6)))</x:f>
        <x:v>58435804.0474026</x:v>
      </x:c>
      <x:c r="L62" s="16" t="n">
        <x:f>IF($B62="REAL",SUMIFS(Carga_Reales!$K:$K,Carga_Reales!$A:$A,$A62,Carga_Reales!$B:$B,$C62),SUMIFS(Proyecciones!$K:$K,Proyecciones!$A:$A,$A62,Proyecciones!$B:$B,$C62))*IF($B62="REAL",1,IF(Resumen!$B$5="Conservador",Supuestos!$E$5,IF(Resumen!$B$5="Optimista",Supuestos!$E$7,Supuestos!$E$6)))</x:f>
        <x:v>90774371.830064</x:v>
      </x:c>
      <x:c r="M62" s="16" t="n">
        <x:f>IF($B62="REAL",SUMIFS(Carga_Reales!$L:$L,Carga_Reales!$A:$A,$A62,Carga_Reales!$B:$B,$C62),SUMIFS(Proyecciones!$L:$L,Proyecciones!$A:$A,$A62,Proyecciones!$B:$B,$C62))*IF($B62="REAL",1,IF(Resumen!$B$5="Conservador",Supuestos!$E$5,IF(Resumen!$B$5="Optimista",Supuestos!$E$7,Supuestos!$E$6)))</x:f>
        <x:v>51304000</x:v>
      </x:c>
      <x:c r="N62" s="16" t="n">
        <x:f>E62+G62+H62+I62+J62+K62</x:f>
        <x:v>1181939014.7140694</x:v>
      </x:c>
      <x:c r="O62" s="16" t="n">
        <x:f>E62-F62+G62+H62+I62+J62+K62-L62-M62</x:f>
        <x:v>140786872.97360528</x:v>
      </x:c>
      <x:c r="P62" s="16" t="n">
        <x:f>O62-IF($B62="REAL",SUMIFS(Carga_Reales!$M:$M,Carga_Reales!$A:$A,$A62,Carga_Reales!$B:$B,$C62),SUMIFS(Proyecciones!$M:$M,Proyecciones!$A:$A,$A62,Proyecciones!$B:$B,$C62))-IF($B62="REAL",SUMIFS(Carga_Reales!$N:$N,Carga_Reales!$A:$A,$A62,Carga_Reales!$B:$B,$C62),SUMIFS(Proyecciones!$N:$N,Proyecciones!$A:$A,$A62,Proyecciones!$B:$B,$C62))</x:f>
        <x:v>88911467.43284348</x:v>
      </x:c>
      <x:c r="Q62" s="16" t="n">
        <x:f>IF($B62="REAL",SUMIFS(Carga_Reales!$O:$O,Carga_Reales!$A:$A,$A62,Carga_Reales!$B:$B,$C62),SUMIFS(Proyecciones!$O:$O,Proyecciones!$A:$A,$A62,Proyecciones!$B:$B,$C62))</x:f>
        <x:v>0</x:v>
      </x:c>
      <x:c r="R62" s="16" t="n">
        <x:f>O62-Q62</x:f>
        <x:v>140786872.97360528</x:v>
      </x:c>
      <x:c r="S62" s="16" t="n">
        <x:f>E62-F62</x:f>
        <x:v>191902774.08959997</x:v>
      </x:c>
      <x:c r="T62" s="16" t="n">
        <x:f>L62+M62</x:f>
        <x:v>142078371.830064</x:v>
      </x:c>
      <x:c r="U62" t="n">
        <x:f>IFERROR((L62+M62)/MAX(1,(S62+G62)/MAX(1,D62)),0)</x:f>
        <x:v>121.12639226482501</x:v>
      </x:c>
    </x:row>
    <x:row r="63">
      <x:c r="A63" s="26" t="n">
        <x:v>46600</x:v>
      </x:c>
      <x:c r="B63" t="str">
        <x:f>IF(EOMONTH($A63,0)&lt;=Resumen!$B$4,"REAL","PROYECTADO")</x:f>
        <x:v>PROYECTADO</x:v>
      </x:c>
      <x:c r="C63" t="str">
        <x:v>Verificarte</x:v>
      </x:c>
      <x:c r="D63" s="15" t="n">
        <x:f>IF($B63="REAL",SUMIFS(Carga_Reales!$C:$C,Carga_Reales!$A:$A,$A63,Carga_Reales!$B:$B,$C63),SUMIFS(Proyecciones!$C:$C,Proyecciones!$A:$A,$A63,Proyecciones!$B:$B,$C63))*IF($B63="REAL",1,IF(Resumen!$B$5="Conservador",Supuestos!$B$5,IF(Resumen!$B$5="Optimista",Supuestos!$B$7,Supuestos!$B$6)))</x:f>
        <x:v>199.266666666667</x:v>
      </x:c>
      <x:c r="E63" s="16" t="n">
        <x:f>IF($B63="REAL",SUMIFS(Carga_Reales!$D:$D,Carga_Reales!$A:$A,$A63,Carga_Reales!$B:$B,$C63),SUMIFS(Proyecciones!$D:$D,Proyecciones!$A:$A,$A63,Proyecciones!$B:$B,$C63))*IF($B63="REAL",1,IF(Resumen!$B$5="Conservador",Supuestos!$B$5,IF(Resumen!$B$5="Optimista",Supuestos!$B$7,Supuestos!$B$6))*IF(Resumen!$B$5="Conservador",Supuestos!$C$5,IF(Resumen!$B$5="Optimista",Supuestos!$C$7,Supuestos!$C$6)))</x:f>
        <x:v>1858672387.13333</x:v>
      </x:c>
      <x:c r="F63" s="16" t="n">
        <x:f>IF($B63="REAL",SUMIFS(Carga_Reales!$E:$E,Carga_Reales!$A:$A,$A63,Carga_Reales!$B:$B,$C63),SUMIFS(Proyecciones!$E:$E,Proyecciones!$A:$A,$A63,Proyecciones!$B:$B,$C63))*IF($B63="REAL",1,IF(Resumen!$B$5="Conservador",Supuestos!$B$5,IF(Resumen!$B$5="Optimista",Supuestos!$B$7,Supuestos!$B$6))*IF(Resumen!$B$5="Conservador",Supuestos!$D$5,IF(Resumen!$B$5="Optimista",Supuestos!$D$7,Supuestos!$D$6)))</x:f>
        <x:v>1551991443.25633</x:v>
      </x:c>
      <x:c r="G63" s="16" t="n">
        <x:f>IF($B63="REAL",SUMIFS(Carga_Reales!$F:$F,Carga_Reales!$A:$A,$A63,Carga_Reales!$B:$B,$C63),SUMIFS(Proyecciones!$F:$F,Proyecciones!$A:$A,$A63,Proyecciones!$B:$B,$C63))*IF($B63="REAL",1,IF(Resumen!$B$5="Conservador",Supuestos!$B$5,IF(Resumen!$B$5="Optimista",Supuestos!$B$7,Supuestos!$B$6)))</x:f>
        <x:v>25067746.6666667</x:v>
      </x:c>
      <x:c r="H63" s="16" t="n">
        <x:f>IF($B63="REAL",SUMIFS(Carga_Reales!$G:$G,Carga_Reales!$A:$A,$A63,Carga_Reales!$B:$B,$C63),SUMIFS(Proyecciones!$G:$G,Proyecciones!$A:$A,$A63,Proyecciones!$B:$B,$C63))*IF($B63="REAL",1,IF(Resumen!$B$5="Conservador",Supuestos!$B$5,IF(Resumen!$B$5="Optimista",Supuestos!$B$7,Supuestos!$B$6)))</x:f>
        <x:v>0</x:v>
      </x:c>
      <x:c r="I63" s="16" t="n">
        <x:f>IF($B63="REAL",SUMIFS(Carga_Reales!$H:$H,Carga_Reales!$A:$A,$A63,Carga_Reales!$B:$B,$C63),SUMIFS(Proyecciones!$H:$H,Proyecciones!$A:$A,$A63,Proyecciones!$B:$B,$C63))*IF($B63="REAL",1,IF(Resumen!$B$5="Conservador",Supuestos!$B$5,IF(Resumen!$B$5="Optimista",Supuestos!$B$7,Supuestos!$B$6)))</x:f>
        <x:v>0</x:v>
      </x:c>
      <x:c r="J63" s="16" t="n">
        <x:f>IF($B63="REAL",SUMIFS(Carga_Reales!$I:$I,Carga_Reales!$A:$A,$A63,Carga_Reales!$B:$B,$C63),SUMIFS(Proyecciones!$I:$I,Proyecciones!$A:$A,$A63,Proyecciones!$B:$B,$C63))*IF($B63="REAL",1,IF(Resumen!$B$5="Conservador",Supuestos!$B$5,IF(Resumen!$B$5="Optimista",Supuestos!$B$7,Supuestos!$B$6)))</x:f>
        <x:v>0</x:v>
      </x:c>
      <x:c r="K63" s="16" t="n">
        <x:f>IF($B63="REAL",SUMIFS(Carga_Reales!$J:$J,Carga_Reales!$A:$A,$A63,Carga_Reales!$B:$B,$C63),SUMIFS(Proyecciones!$J:$J,Proyecciones!$A:$A,$A63,Proyecciones!$B:$B,$C63))*IF($B63="REAL",1,IF(Resumen!$B$5="Conservador",Supuestos!$B$5,IF(Resumen!$B$5="Optimista",Supuestos!$B$7,Supuestos!$B$6)))</x:f>
        <x:v>0</x:v>
      </x:c>
      <x:c r="L63" s="16" t="n">
        <x:f>IF($B63="REAL",SUMIFS(Carga_Reales!$K:$K,Carga_Reales!$A:$A,$A63,Carga_Reales!$B:$B,$C63),SUMIFS(Proyecciones!$K:$K,Proyecciones!$A:$A,$A63,Proyecciones!$B:$B,$C63))*IF($B63="REAL",1,IF(Resumen!$B$5="Conservador",Supuestos!$E$5,IF(Resumen!$B$5="Optimista",Supuestos!$E$7,Supuestos!$E$6)))</x:f>
        <x:v>73089161.6281478</x:v>
      </x:c>
      <x:c r="M63" s="16" t="n">
        <x:f>IF($B63="REAL",SUMIFS(Carga_Reales!$L:$L,Carga_Reales!$A:$A,$A63,Carga_Reales!$B:$B,$C63),SUMIFS(Proyecciones!$L:$L,Proyecciones!$A:$A,$A63,Proyecciones!$B:$B,$C63))*IF($B63="REAL",1,IF(Resumen!$B$5="Conservador",Supuestos!$E$5,IF(Resumen!$B$5="Optimista",Supuestos!$E$7,Supuestos!$E$6)))</x:f>
        <x:v>75260000</x:v>
      </x:c>
      <x:c r="N63" s="16" t="n">
        <x:f>E63+G63+H63+I63+J63+K63</x:f>
        <x:v>1883740133.7999969</x:v>
      </x:c>
      <x:c r="O63" s="16" t="n">
        <x:f>E63-F63+G63+H63+I63+J63+K63-L63-M63</x:f>
        <x:v>183399528.915519</x:v>
      </x:c>
      <x:c r="P63" s="16" t="n">
        <x:f>O63-IF($B63="REAL",SUMIFS(Carga_Reales!$M:$M,Carga_Reales!$A:$A,$A63,Carga_Reales!$B:$B,$C63),SUMIFS(Proyecciones!$M:$M,Proyecciones!$A:$A,$A63,Proyecciones!$B:$B,$C63))-IF($B63="REAL",SUMIFS(Carga_Reales!$N:$N,Carga_Reales!$A:$A,$A63,Carga_Reales!$B:$B,$C63),SUMIFS(Proyecciones!$N:$N,Proyecciones!$A:$A,$A63,Proyecciones!$B:$B,$C63))</x:f>
        <x:v>116609693.79508731</x:v>
      </x:c>
      <x:c r="Q63" s="16" t="n">
        <x:f>IF($B63="REAL",SUMIFS(Carga_Reales!$O:$O,Carga_Reales!$A:$A,$A63,Carga_Reales!$B:$B,$C63),SUMIFS(Proyecciones!$O:$O,Proyecciones!$A:$A,$A63,Proyecciones!$B:$B,$C63))</x:f>
        <x:v>0</x:v>
      </x:c>
      <x:c r="R63" s="16" t="n">
        <x:f>O63-Q63</x:f>
        <x:v>183399528.915519</x:v>
      </x:c>
      <x:c r="S63" s="16" t="n">
        <x:f>E63-F63</x:f>
        <x:v>306680943.8770001</x:v>
      </x:c>
      <x:c r="T63" s="16" t="n">
        <x:f>L63+M63</x:f>
        <x:v>148349161.62814778</x:v>
      </x:c>
      <x:c r="U63" t="n">
        <x:f>IFERROR((L63+M63)/MAX(1,(S63+G63)/MAX(1,D63)),0)</x:f>
        <x:v>89.10673586078443</x:v>
      </x:c>
    </x:row>
    <x:row r="64">
      <x:c r="A64" s="26" t="n">
        <x:v>46600</x:v>
      </x:c>
      <x:c r="B64" t="str">
        <x:f>IF(EOMONTH($A64,0)&lt;=Resumen!$B$4,"REAL","PROYECTADO")</x:f>
        <x:v>PROYECTADO</x:v>
      </x:c>
      <x:c r="C64" t="str">
        <x:v>TuClick</x:v>
      </x:c>
      <x:c r="D64" s="15" t="n">
        <x:f>IF($B64="REAL",SUMIFS(Carga_Reales!$C:$C,Carga_Reales!$A:$A,$A64,Carga_Reales!$B:$B,$C64),SUMIFS(Proyecciones!$C:$C,Proyecciones!$A:$A,$A64,Proyecciones!$B:$B,$C64))*IF($B64="REAL",1,IF(Resumen!$B$5="Conservador",Supuestos!$B$5,IF(Resumen!$B$5="Optimista",Supuestos!$B$7,Supuestos!$B$6)))</x:f>
        <x:v>76.0666666666667</x:v>
      </x:c>
      <x:c r="E64" s="16" t="n">
        <x:f>IF($B64="REAL",SUMIFS(Carga_Reales!$D:$D,Carga_Reales!$A:$A,$A64,Carga_Reales!$B:$B,$C64),SUMIFS(Proyecciones!$D:$D,Proyecciones!$A:$A,$A64,Proyecciones!$B:$B,$C64))*IF($B64="REAL",1,IF(Resumen!$B$5="Conservador",Supuestos!$B$5,IF(Resumen!$B$5="Optimista",Supuestos!$B$7,Supuestos!$B$6))*IF(Resumen!$B$5="Conservador",Supuestos!$C$5,IF(Resumen!$B$5="Optimista",Supuestos!$C$7,Supuestos!$C$6)))</x:f>
        <x:v>531177108.466667</x:v>
      </x:c>
      <x:c r="F64" s="16" t="n">
        <x:f>IF($B64="REAL",SUMIFS(Carga_Reales!$E:$E,Carga_Reales!$A:$A,$A64,Carga_Reales!$B:$B,$C64),SUMIFS(Proyecciones!$E:$E,Proyecciones!$A:$A,$A64,Proyecciones!$B:$B,$C64))*IF($B64="REAL",1,IF(Resumen!$B$5="Conservador",Supuestos!$B$5,IF(Resumen!$B$5="Optimista",Supuestos!$B$7,Supuestos!$B$6))*IF(Resumen!$B$5="Conservador",Supuestos!$D$5,IF(Resumen!$B$5="Optimista",Supuestos!$D$7,Supuestos!$D$6)))</x:f>
        <x:v>454209545.449847</x:v>
      </x:c>
      <x:c r="G64" s="16" t="n">
        <x:f>IF($B64="REAL",SUMIFS(Carga_Reales!$F:$F,Carga_Reales!$A:$A,$A64,Carga_Reales!$B:$B,$C64),SUMIFS(Proyecciones!$F:$F,Proyecciones!$A:$A,$A64,Proyecciones!$B:$B,$C64))*IF($B64="REAL",1,IF(Resumen!$B$5="Conservador",Supuestos!$B$5,IF(Resumen!$B$5="Optimista",Supuestos!$B$7,Supuestos!$B$6)))</x:f>
        <x:v>16974276.6666667</x:v>
      </x:c>
      <x:c r="H64" s="16" t="n">
        <x:f>IF($B64="REAL",SUMIFS(Carga_Reales!$G:$G,Carga_Reales!$A:$A,$A64,Carga_Reales!$B:$B,$C64),SUMIFS(Proyecciones!$G:$G,Proyecciones!$A:$A,$A64,Proyecciones!$B:$B,$C64))*IF($B64="REAL",1,IF(Resumen!$B$5="Conservador",Supuestos!$B$5,IF(Resumen!$B$5="Optimista",Supuestos!$B$7,Supuestos!$B$6)))</x:f>
        <x:v>0</x:v>
      </x:c>
      <x:c r="I64" s="16" t="n">
        <x:f>IF($B64="REAL",SUMIFS(Carga_Reales!$H:$H,Carga_Reales!$A:$A,$A64,Carga_Reales!$B:$B,$C64),SUMIFS(Proyecciones!$H:$H,Proyecciones!$A:$A,$A64,Proyecciones!$B:$B,$C64))*IF($B64="REAL",1,IF(Resumen!$B$5="Conservador",Supuestos!$B$5,IF(Resumen!$B$5="Optimista",Supuestos!$B$7,Supuestos!$B$6)))</x:f>
        <x:v>0</x:v>
      </x:c>
      <x:c r="J64" s="16" t="n">
        <x:f>IF($B64="REAL",SUMIFS(Carga_Reales!$I:$I,Carga_Reales!$A:$A,$A64,Carga_Reales!$B:$B,$C64),SUMIFS(Proyecciones!$I:$I,Proyecciones!$A:$A,$A64,Proyecciones!$B:$B,$C64))*IF($B64="REAL",1,IF(Resumen!$B$5="Conservador",Supuestos!$B$5,IF(Resumen!$B$5="Optimista",Supuestos!$B$7,Supuestos!$B$6)))</x:f>
        <x:v>0</x:v>
      </x:c>
      <x:c r="K64" s="16" t="n">
        <x:f>IF($B64="REAL",SUMIFS(Carga_Reales!$J:$J,Carga_Reales!$A:$A,$A64,Carga_Reales!$B:$B,$C64),SUMIFS(Proyecciones!$J:$J,Proyecciones!$A:$A,$A64,Proyecciones!$B:$B,$C64))*IF($B64="REAL",1,IF(Resumen!$B$5="Conservador",Supuestos!$B$5,IF(Resumen!$B$5="Optimista",Supuestos!$B$7,Supuestos!$B$6)))</x:f>
        <x:v>0</x:v>
      </x:c>
      <x:c r="L64" s="16" t="n">
        <x:f>IF($B64="REAL",SUMIFS(Carga_Reales!$K:$K,Carga_Reales!$A:$A,$A64,Carga_Reales!$B:$B,$C64),SUMIFS(Proyecciones!$K:$K,Proyecciones!$A:$A,$A64,Proyecciones!$B:$B,$C64))*IF($B64="REAL",1,IF(Resumen!$B$5="Conservador",Supuestos!$E$5,IF(Resumen!$B$5="Optimista",Supuestos!$E$7,Supuestos!$E$6)))</x:f>
        <x:v>31865823.5635883</x:v>
      </x:c>
      <x:c r="M64" s="16" t="n">
        <x:f>IF($B64="REAL",SUMIFS(Carga_Reales!$L:$L,Carga_Reales!$A:$A,$A64,Carga_Reales!$B:$B,$C64),SUMIFS(Proyecciones!$L:$L,Proyecciones!$A:$A,$A64,Proyecciones!$B:$B,$C64))*IF($B64="REAL",1,IF(Resumen!$B$5="Conservador",Supuestos!$E$5,IF(Resumen!$B$5="Optimista",Supuestos!$E$7,Supuestos!$E$6)))</x:f>
        <x:v>42400000</x:v>
      </x:c>
      <x:c r="N64" s="16" t="n">
        <x:f>E64+G64+H64+I64+J64+K64</x:f>
        <x:v>548151385.1333337</x:v>
      </x:c>
      <x:c r="O64" s="16" t="n">
        <x:f>E64-F64+G64+H64+I64+J64+K64-L64-M64</x:f>
        <x:v>19676016.119898416</x:v>
      </x:c>
      <x:c r="P64" s="16" t="n">
        <x:f>O64-IF($B64="REAL",SUMIFS(Carga_Reales!$M:$M,Carga_Reales!$A:$A,$A64,Carga_Reales!$B:$B,$C64),SUMIFS(Proyecciones!$M:$M,Proyecciones!$A:$A,$A64,Proyecciones!$B:$B,$C64))-IF($B64="REAL",SUMIFS(Carga_Reales!$N:$N,Carga_Reales!$A:$A,$A64,Carga_Reales!$B:$B,$C64),SUMIFS(Proyecciones!$N:$N,Proyecciones!$A:$A,$A64,Proyecciones!$B:$B,$C64))</x:f>
        <x:v>11489410.477933977</x:v>
      </x:c>
      <x:c r="Q64" s="16" t="n">
        <x:f>IF($B64="REAL",SUMIFS(Carga_Reales!$O:$O,Carga_Reales!$A:$A,$A64,Carga_Reales!$B:$B,$C64),SUMIFS(Proyecciones!$O:$O,Proyecciones!$A:$A,$A64,Proyecciones!$B:$B,$C64))</x:f>
        <x:v>0</x:v>
      </x:c>
      <x:c r="R64" s="16" t="n">
        <x:f>O64-Q64</x:f>
        <x:v>19676016.119898416</x:v>
      </x:c>
      <x:c r="S64" s="16" t="n">
        <x:f>E64-F64</x:f>
        <x:v>76967563.01682001</x:v>
      </x:c>
      <x:c r="T64" s="16" t="n">
        <x:f>L64+M64</x:f>
        <x:v>74265823.56358829</x:v>
      </x:c>
      <x:c r="U64" t="n">
        <x:f>IFERROR((L64+M64)/MAX(1,(S64+G64)/MAX(1,D64)),0)</x:f>
        <x:v>60.13458608826853</x:v>
      </x:c>
    </x:row>
    <x:row r="65">
      <x:c r="A65" s="26" t="n">
        <x:v>46631</x:v>
      </x:c>
      <x:c r="B65" t="str">
        <x:f>IF(EOMONTH($A65,0)&lt;=Resumen!$B$4,"REAL","PROYECTADO")</x:f>
        <x:v>PROYECTADO</x:v>
      </x:c>
      <x:c r="C65" t="str">
        <x:v>Moto para Todos</x:v>
      </x:c>
      <x:c r="D65" s="15" t="n">
        <x:f>IF($B65="REAL",SUMIFS(Carga_Reales!$C:$C,Carga_Reales!$A:$A,$A65,Carga_Reales!$B:$B,$C65),SUMIFS(Proyecciones!$C:$C,Proyecciones!$A:$A,$A65,Proyecciones!$B:$B,$C65))*IF($B65="REAL",1,IF(Resumen!$B$5="Conservador",Supuestos!$B$5,IF(Resumen!$B$5="Optimista",Supuestos!$B$7,Supuestos!$B$6)))</x:f>
        <x:v>194.806010928962</x:v>
      </x:c>
      <x:c r="E65" s="16" t="n">
        <x:f>IF($B65="REAL",SUMIFS(Carga_Reales!$D:$D,Carga_Reales!$A:$A,$A65,Carga_Reales!$B:$B,$C65),SUMIFS(Proyecciones!$D:$D,Proyecciones!$A:$A,$A65,Proyecciones!$B:$B,$C65))*IF($B65="REAL",1,IF(Resumen!$B$5="Conservador",Supuestos!$B$5,IF(Resumen!$B$5="Optimista",Supuestos!$B$7,Supuestos!$B$6))*IF(Resumen!$B$5="Conservador",Supuestos!$C$5,IF(Resumen!$B$5="Optimista",Supuestos!$C$7,Supuestos!$C$6)))</x:f>
        <x:v>1110777640.52459</x:v>
      </x:c>
      <x:c r="F65" s="16" t="n">
        <x:f>IF($B65="REAL",SUMIFS(Carga_Reales!$E:$E,Carga_Reales!$A:$A,$A65,Carga_Reales!$B:$B,$C65),SUMIFS(Proyecciones!$E:$E,Proyecciones!$A:$A,$A65,Proyecciones!$B:$B,$C65))*IF($B65="REAL",1,IF(Resumen!$B$5="Conservador",Supuestos!$B$5,IF(Resumen!$B$5="Optimista",Supuestos!$B$7,Supuestos!$B$6))*IF(Resumen!$B$5="Conservador",Supuestos!$D$5,IF(Resumen!$B$5="Optimista",Supuestos!$D$7,Supuestos!$D$6)))</x:f>
        <x:v>915391853.556315</x:v>
      </x:c>
      <x:c r="G65" s="16" t="n">
        <x:f>IF($B65="REAL",SUMIFS(Carga_Reales!$F:$F,Carga_Reales!$A:$A,$A65,Carga_Reales!$B:$B,$C65),SUMIFS(Proyecciones!$F:$F,Proyecciones!$A:$A,$A65,Proyecciones!$B:$B,$C65))*IF($B65="REAL",1,IF(Resumen!$B$5="Conservador",Supuestos!$B$5,IF(Resumen!$B$5="Optimista",Supuestos!$B$7,Supuestos!$B$6)))</x:f>
        <x:v>33117021.8579235</x:v>
      </x:c>
      <x:c r="H65" s="16" t="n">
        <x:f>IF($B65="REAL",SUMIFS(Carga_Reales!$G:$G,Carga_Reales!$A:$A,$A65,Carga_Reales!$B:$B,$C65),SUMIFS(Proyecciones!$G:$G,Proyecciones!$A:$A,$A65,Proyecciones!$B:$B,$C65))*IF($B65="REAL",1,IF(Resumen!$B$5="Conservador",Supuestos!$B$5,IF(Resumen!$B$5="Optimista",Supuestos!$B$7,Supuestos!$B$6)))</x:f>
        <x:v>0</x:v>
      </x:c>
      <x:c r="I65" s="16" t="n">
        <x:f>IF($B65="REAL",SUMIFS(Carga_Reales!$H:$H,Carga_Reales!$A:$A,$A65,Carga_Reales!$B:$B,$C65),SUMIFS(Proyecciones!$H:$H,Proyecciones!$A:$A,$A65,Proyecciones!$B:$B,$C65))*IF($B65="REAL",1,IF(Resumen!$B$5="Conservador",Supuestos!$B$5,IF(Resumen!$B$5="Optimista",Supuestos!$B$7,Supuestos!$B$6)))</x:f>
        <x:v>0</x:v>
      </x:c>
      <x:c r="J65" s="16" t="n">
        <x:f>IF($B65="REAL",SUMIFS(Carga_Reales!$I:$I,Carga_Reales!$A:$A,$A65,Carga_Reales!$B:$B,$C65),SUMIFS(Proyecciones!$I:$I,Proyecciones!$A:$A,$A65,Proyecciones!$B:$B,$C65))*IF($B65="REAL",1,IF(Resumen!$B$5="Conservador",Supuestos!$B$5,IF(Resumen!$B$5="Optimista",Supuestos!$B$7,Supuestos!$B$6)))</x:f>
        <x:v>0</x:v>
      </x:c>
      <x:c r="K65" s="16" t="n">
        <x:f>IF($B65="REAL",SUMIFS(Carga_Reales!$J:$J,Carga_Reales!$A:$A,$A65,Carga_Reales!$B:$B,$C65),SUMIFS(Proyecciones!$J:$J,Proyecciones!$A:$A,$A65,Proyecciones!$B:$B,$C65))*IF($B65="REAL",1,IF(Resumen!$B$5="Conservador",Supuestos!$B$5,IF(Resumen!$B$5="Optimista",Supuestos!$B$7,Supuestos!$B$6)))</x:f>
        <x:v>62660839.5344986</x:v>
      </x:c>
      <x:c r="L65" s="16" t="n">
        <x:f>IF($B65="REAL",SUMIFS(Carga_Reales!$K:$K,Carga_Reales!$A:$A,$A65,Carga_Reales!$B:$B,$C65),SUMIFS(Proyecciones!$K:$K,Proyecciones!$A:$A,$A65,Proyecciones!$B:$B,$C65))*IF($B65="REAL",1,IF(Resumen!$B$5="Conservador",Supuestos!$E$5,IF(Resumen!$B$5="Optimista",Supuestos!$E$7,Supuestos!$E$6)))</x:f>
        <x:v>90774371.830064</x:v>
      </x:c>
      <x:c r="M65" s="16" t="n">
        <x:f>IF($B65="REAL",SUMIFS(Carga_Reales!$L:$L,Carga_Reales!$A:$A,$A65,Carga_Reales!$B:$B,$C65),SUMIFS(Proyecciones!$L:$L,Proyecciones!$A:$A,$A65,Proyecciones!$B:$B,$C65))*IF($B65="REAL",1,IF(Resumen!$B$5="Conservador",Supuestos!$E$5,IF(Resumen!$B$5="Optimista",Supuestos!$E$7,Supuestos!$E$6)))</x:f>
        <x:v>51304000</x:v>
      </x:c>
      <x:c r="N65" s="16" t="n">
        <x:f>E65+G65+H65+I65+J65+K65</x:f>
        <x:v>1206555501.9170122</x:v>
      </x:c>
      <x:c r="O65" s="16" t="n">
        <x:f>E65-F65+G65+H65+I65+J65+K65-L65-M65</x:f>
        <x:v>149085276.53063315</x:v>
      </x:c>
      <x:c r="P65" s="16" t="n">
        <x:f>O65-IF($B65="REAL",SUMIFS(Carga_Reales!$M:$M,Carga_Reales!$A:$A,$A65,Carga_Reales!$B:$B,$C65),SUMIFS(Proyecciones!$M:$M,Proyecciones!$A:$A,$A65,Proyecciones!$B:$B,$C65))-IF($B65="REAL",SUMIFS(Carga_Reales!$N:$N,Carga_Reales!$A:$A,$A65,Carga_Reales!$B:$B,$C65),SUMIFS(Proyecciones!$N:$N,Proyecciones!$A:$A,$A65,Proyecciones!$B:$B,$C65))</x:f>
        <x:v>94305429.74491146</x:v>
      </x:c>
      <x:c r="Q65" s="16" t="n">
        <x:f>IF($B65="REAL",SUMIFS(Carga_Reales!$O:$O,Carga_Reales!$A:$A,$A65,Carga_Reales!$B:$B,$C65),SUMIFS(Proyecciones!$O:$O,Proyecciones!$A:$A,$A65,Proyecciones!$B:$B,$C65))</x:f>
        <x:v>0</x:v>
      </x:c>
      <x:c r="R65" s="16" t="n">
        <x:f>O65-Q65</x:f>
        <x:v>149085276.53063315</x:v>
      </x:c>
      <x:c r="S65" s="16" t="n">
        <x:f>E65-F65</x:f>
        <x:v>195385786.96827507</x:v>
      </x:c>
      <x:c r="T65" s="16" t="n">
        <x:f>L65+M65</x:f>
        <x:v>142078371.830064</x:v>
      </x:c>
      <x:c r="U65" t="n">
        <x:f>IFERROR((L65+M65)/MAX(1,(S65+G65)/MAX(1,D65)),0)</x:f>
        <x:v>121.12639226482557</x:v>
      </x:c>
    </x:row>
    <x:row r="66">
      <x:c r="A66" s="26" t="n">
        <x:v>46631</x:v>
      </x:c>
      <x:c r="B66" t="str">
        <x:f>IF(EOMONTH($A66,0)&lt;=Resumen!$B$4,"REAL","PROYECTADO")</x:f>
        <x:v>PROYECTADO</x:v>
      </x:c>
      <x:c r="C66" t="str">
        <x:v>Verificarte</x:v>
      </x:c>
      <x:c r="D66" s="15" t="n">
        <x:f>IF($B66="REAL",SUMIFS(Carga_Reales!$C:$C,Carga_Reales!$A:$A,$A66,Carga_Reales!$B:$B,$C66),SUMIFS(Proyecciones!$C:$C,Proyecciones!$A:$A,$A66,Proyecciones!$B:$B,$C66))*IF($B66="REAL",1,IF(Resumen!$B$5="Conservador",Supuestos!$B$5,IF(Resumen!$B$5="Optimista",Supuestos!$B$7,Supuestos!$B$6)))</x:f>
        <x:v>202.883333333333</x:v>
      </x:c>
      <x:c r="E66" s="16" t="n">
        <x:f>IF($B66="REAL",SUMIFS(Carga_Reales!$D:$D,Carga_Reales!$A:$A,$A66,Carga_Reales!$B:$B,$C66),SUMIFS(Proyecciones!$D:$D,Proyecciones!$A:$A,$A66,Proyecciones!$B:$B,$C66))*IF($B66="REAL",1,IF(Resumen!$B$5="Conservador",Supuestos!$B$5,IF(Resumen!$B$5="Optimista",Supuestos!$B$7,Supuestos!$B$6))*IF(Resumen!$B$5="Conservador",Supuestos!$C$5,IF(Resumen!$B$5="Optimista",Supuestos!$C$7,Supuestos!$C$6)))</x:f>
        <x:v>1892407073.31667</x:v>
      </x:c>
      <x:c r="F66" s="16" t="n">
        <x:f>IF($B66="REAL",SUMIFS(Carga_Reales!$E:$E,Carga_Reales!$A:$A,$A66,Carga_Reales!$B:$B,$C66),SUMIFS(Proyecciones!$E:$E,Proyecciones!$A:$A,$A66,Proyecciones!$B:$B,$C66))*IF($B66="REAL",1,IF(Resumen!$B$5="Conservador",Supuestos!$B$5,IF(Resumen!$B$5="Optimista",Supuestos!$B$7,Supuestos!$B$6))*IF(Resumen!$B$5="Conservador",Supuestos!$D$5,IF(Resumen!$B$5="Optimista",Supuestos!$D$7,Supuestos!$D$6)))</x:f>
        <x:v>1580159906.21942</x:v>
      </x:c>
      <x:c r="G66" s="16" t="n">
        <x:f>IF($B66="REAL",SUMIFS(Carga_Reales!$F:$F,Carga_Reales!$A:$A,$A66,Carga_Reales!$B:$B,$C66),SUMIFS(Proyecciones!$F:$F,Proyecciones!$A:$A,$A66,Proyecciones!$B:$B,$C66))*IF($B66="REAL",1,IF(Resumen!$B$5="Conservador",Supuestos!$B$5,IF(Resumen!$B$5="Optimista",Supuestos!$B$7,Supuestos!$B$6)))</x:f>
        <x:v>25522723.3333333</x:v>
      </x:c>
      <x:c r="H66" s="16" t="n">
        <x:f>IF($B66="REAL",SUMIFS(Carga_Reales!$G:$G,Carga_Reales!$A:$A,$A66,Carga_Reales!$B:$B,$C66),SUMIFS(Proyecciones!$G:$G,Proyecciones!$A:$A,$A66,Proyecciones!$B:$B,$C66))*IF($B66="REAL",1,IF(Resumen!$B$5="Conservador",Supuestos!$B$5,IF(Resumen!$B$5="Optimista",Supuestos!$B$7,Supuestos!$B$6)))</x:f>
        <x:v>0</x:v>
      </x:c>
      <x:c r="I66" s="16" t="n">
        <x:f>IF($B66="REAL",SUMIFS(Carga_Reales!$H:$H,Carga_Reales!$A:$A,$A66,Carga_Reales!$B:$B,$C66),SUMIFS(Proyecciones!$H:$H,Proyecciones!$A:$A,$A66,Proyecciones!$B:$B,$C66))*IF($B66="REAL",1,IF(Resumen!$B$5="Conservador",Supuestos!$B$5,IF(Resumen!$B$5="Optimista",Supuestos!$B$7,Supuestos!$B$6)))</x:f>
        <x:v>0</x:v>
      </x:c>
      <x:c r="J66" s="16" t="n">
        <x:f>IF($B66="REAL",SUMIFS(Carga_Reales!$I:$I,Carga_Reales!$A:$A,$A66,Carga_Reales!$B:$B,$C66),SUMIFS(Proyecciones!$I:$I,Proyecciones!$A:$A,$A66,Proyecciones!$B:$B,$C66))*IF($B66="REAL",1,IF(Resumen!$B$5="Conservador",Supuestos!$B$5,IF(Resumen!$B$5="Optimista",Supuestos!$B$7,Supuestos!$B$6)))</x:f>
        <x:v>0</x:v>
      </x:c>
      <x:c r="K66" s="16" t="n">
        <x:f>IF($B66="REAL",SUMIFS(Carga_Reales!$J:$J,Carga_Reales!$A:$A,$A66,Carga_Reales!$B:$B,$C66),SUMIFS(Proyecciones!$J:$J,Proyecciones!$A:$A,$A66,Proyecciones!$B:$B,$C66))*IF($B66="REAL",1,IF(Resumen!$B$5="Conservador",Supuestos!$B$5,IF(Resumen!$B$5="Optimista",Supuestos!$B$7,Supuestos!$B$6)))</x:f>
        <x:v>0</x:v>
      </x:c>
      <x:c r="L66" s="16" t="n">
        <x:f>IF($B66="REAL",SUMIFS(Carga_Reales!$K:$K,Carga_Reales!$A:$A,$A66,Carga_Reales!$B:$B,$C66),SUMIFS(Proyecciones!$K:$K,Proyecciones!$A:$A,$A66,Proyecciones!$B:$B,$C66))*IF($B66="REAL",1,IF(Resumen!$B$5="Conservador",Supuestos!$E$5,IF(Resumen!$B$5="Optimista",Supuestos!$E$7,Supuestos!$E$6)))</x:f>
        <x:v>73089161.6281478</x:v>
      </x:c>
      <x:c r="M66" s="16" t="n">
        <x:f>IF($B66="REAL",SUMIFS(Carga_Reales!$L:$L,Carga_Reales!$A:$A,$A66,Carga_Reales!$B:$B,$C66),SUMIFS(Proyecciones!$L:$L,Proyecciones!$A:$A,$A66,Proyecciones!$B:$B,$C66))*IF($B66="REAL",1,IF(Resumen!$B$5="Conservador",Supuestos!$E$5,IF(Resumen!$B$5="Optimista",Supuestos!$E$7,Supuestos!$E$6)))</x:f>
        <x:v>75260000</x:v>
      </x:c>
      <x:c r="N66" s="16" t="n">
        <x:f>E66+G66+H66+I66+J66+K66</x:f>
        <x:v>1917929796.6500032</x:v>
      </x:c>
      <x:c r="O66" s="16" t="n">
        <x:f>E66-F66+G66+H66+I66+J66+K66-L66-M66</x:f>
        <x:v>189420728.80243552</x:v>
      </x:c>
      <x:c r="P66" s="16" t="n">
        <x:f>O66-IF($B66="REAL",SUMIFS(Carga_Reales!$M:$M,Carga_Reales!$A:$A,$A66,Carga_Reales!$B:$B,$C66),SUMIFS(Proyecciones!$M:$M,Proyecciones!$A:$A,$A66,Proyecciones!$B:$B,$C66))-IF($B66="REAL",SUMIFS(Carga_Reales!$N:$N,Carga_Reales!$A:$A,$A66,Carga_Reales!$B:$B,$C66),SUMIFS(Proyecciones!$N:$N,Proyecciones!$A:$A,$A66,Proyecciones!$B:$B,$C66))</x:f>
        <x:v>120523473.72158313</x:v>
      </x:c>
      <x:c r="Q66" s="16" t="n">
        <x:f>IF($B66="REAL",SUMIFS(Carga_Reales!$O:$O,Carga_Reales!$A:$A,$A66,Carga_Reales!$B:$B,$C66),SUMIFS(Proyecciones!$O:$O,Proyecciones!$A:$A,$A66,Proyecciones!$B:$B,$C66))</x:f>
        <x:v>0</x:v>
      </x:c>
      <x:c r="R66" s="16" t="n">
        <x:f>O66-Q66</x:f>
        <x:v>189420728.80243552</x:v>
      </x:c>
      <x:c r="S66" s="16" t="n">
        <x:f>E66-F66</x:f>
        <x:v>312247167.09725</x:v>
      </x:c>
      <x:c r="T66" s="16" t="n">
        <x:f>L66+M66</x:f>
        <x:v>148349161.62814778</x:v>
      </x:c>
      <x:c r="U66" t="n">
        <x:f>IFERROR((L66+M66)/MAX(1,(S66+G66)/MAX(1,D66)),0)</x:f>
        <x:v>89.10673586078418</x:v>
      </x:c>
    </x:row>
    <x:row r="67">
      <x:c r="A67" s="26" t="n">
        <x:v>46631</x:v>
      </x:c>
      <x:c r="B67" t="str">
        <x:f>IF(EOMONTH($A67,0)&lt;=Resumen!$B$4,"REAL","PROYECTADO")</x:f>
        <x:v>PROYECTADO</x:v>
      </x:c>
      <x:c r="C67" t="str">
        <x:v>TuClick</x:v>
      </x:c>
      <x:c r="D67" s="15" t="n">
        <x:f>IF($B67="REAL",SUMIFS(Carga_Reales!$C:$C,Carga_Reales!$A:$A,$A67,Carga_Reales!$B:$B,$C67),SUMIFS(Proyecciones!$C:$C,Proyecciones!$A:$A,$A67,Proyecciones!$B:$B,$C67))*IF($B67="REAL",1,IF(Resumen!$B$5="Conservador",Supuestos!$B$5,IF(Resumen!$B$5="Optimista",Supuestos!$B$7,Supuestos!$B$6)))</x:f>
        <x:v>77.4472677595628</x:v>
      </x:c>
      <x:c r="E67" s="16" t="n">
        <x:f>IF($B67="REAL",SUMIFS(Carga_Reales!$D:$D,Carga_Reales!$A:$A,$A67,Carga_Reales!$B:$B,$C67),SUMIFS(Proyecciones!$D:$D,Proyecciones!$A:$A,$A67,Proyecciones!$B:$B,$C67))*IF($B67="REAL",1,IF(Resumen!$B$5="Conservador",Supuestos!$B$5,IF(Resumen!$B$5="Optimista",Supuestos!$B$7,Supuestos!$B$6))*IF(Resumen!$B$5="Conservador",Supuestos!$C$5,IF(Resumen!$B$5="Optimista",Supuestos!$C$7,Supuestos!$C$6)))</x:f>
        <x:v>540817910.786612</x:v>
      </x:c>
      <x:c r="F67" s="16" t="n">
        <x:f>IF($B67="REAL",SUMIFS(Carga_Reales!$E:$E,Carga_Reales!$A:$A,$A67,Carga_Reales!$B:$B,$C67),SUMIFS(Proyecciones!$E:$E,Proyecciones!$A:$A,$A67,Proyecciones!$B:$B,$C67))*IF($B67="REAL",1,IF(Resumen!$B$5="Conservador",Supuestos!$B$5,IF(Resumen!$B$5="Optimista",Supuestos!$B$7,Supuestos!$B$6))*IF(Resumen!$B$5="Conservador",Supuestos!$D$5,IF(Resumen!$B$5="Optimista",Supuestos!$D$7,Supuestos!$D$6)))</x:f>
        <x:v>462453395.513632</x:v>
      </x:c>
      <x:c r="G67" s="16" t="n">
        <x:f>IF($B67="REAL",SUMIFS(Carga_Reales!$F:$F,Carga_Reales!$A:$A,$A67,Carga_Reales!$B:$B,$C67),SUMIFS(Proyecciones!$F:$F,Proyecciones!$A:$A,$A67,Proyecciones!$B:$B,$C67))*IF($B67="REAL",1,IF(Resumen!$B$5="Conservador",Supuestos!$B$5,IF(Resumen!$B$5="Optimista",Supuestos!$B$7,Supuestos!$B$6)))</x:f>
        <x:v>17282357.8005464</x:v>
      </x:c>
      <x:c r="H67" s="16" t="n">
        <x:f>IF($B67="REAL",SUMIFS(Carga_Reales!$G:$G,Carga_Reales!$A:$A,$A67,Carga_Reales!$B:$B,$C67),SUMIFS(Proyecciones!$G:$G,Proyecciones!$A:$A,$A67,Proyecciones!$B:$B,$C67))*IF($B67="REAL",1,IF(Resumen!$B$5="Conservador",Supuestos!$B$5,IF(Resumen!$B$5="Optimista",Supuestos!$B$7,Supuestos!$B$6)))</x:f>
        <x:v>0</x:v>
      </x:c>
      <x:c r="I67" s="16" t="n">
        <x:f>IF($B67="REAL",SUMIFS(Carga_Reales!$H:$H,Carga_Reales!$A:$A,$A67,Carga_Reales!$B:$B,$C67),SUMIFS(Proyecciones!$H:$H,Proyecciones!$A:$A,$A67,Proyecciones!$B:$B,$C67))*IF($B67="REAL",1,IF(Resumen!$B$5="Conservador",Supuestos!$B$5,IF(Resumen!$B$5="Optimista",Supuestos!$B$7,Supuestos!$B$6)))</x:f>
        <x:v>0</x:v>
      </x:c>
      <x:c r="J67" s="16" t="n">
        <x:f>IF($B67="REAL",SUMIFS(Carga_Reales!$I:$I,Carga_Reales!$A:$A,$A67,Carga_Reales!$B:$B,$C67),SUMIFS(Proyecciones!$I:$I,Proyecciones!$A:$A,$A67,Proyecciones!$B:$B,$C67))*IF($B67="REAL",1,IF(Resumen!$B$5="Conservador",Supuestos!$B$5,IF(Resumen!$B$5="Optimista",Supuestos!$B$7,Supuestos!$B$6)))</x:f>
        <x:v>0</x:v>
      </x:c>
      <x:c r="K67" s="16" t="n">
        <x:f>IF($B67="REAL",SUMIFS(Carga_Reales!$J:$J,Carga_Reales!$A:$A,$A67,Carga_Reales!$B:$B,$C67),SUMIFS(Proyecciones!$J:$J,Proyecciones!$A:$A,$A67,Proyecciones!$B:$B,$C67))*IF($B67="REAL",1,IF(Resumen!$B$5="Conservador",Supuestos!$B$5,IF(Resumen!$B$5="Optimista",Supuestos!$B$7,Supuestos!$B$6)))</x:f>
        <x:v>0</x:v>
      </x:c>
      <x:c r="L67" s="16" t="n">
        <x:f>IF($B67="REAL",SUMIFS(Carga_Reales!$K:$K,Carga_Reales!$A:$A,$A67,Carga_Reales!$B:$B,$C67),SUMIFS(Proyecciones!$K:$K,Proyecciones!$A:$A,$A67,Proyecciones!$B:$B,$C67))*IF($B67="REAL",1,IF(Resumen!$B$5="Conservador",Supuestos!$E$5,IF(Resumen!$B$5="Optimista",Supuestos!$E$7,Supuestos!$E$6)))</x:f>
        <x:v>31865823.5635883</x:v>
      </x:c>
      <x:c r="M67" s="16" t="n">
        <x:f>IF($B67="REAL",SUMIFS(Carga_Reales!$L:$L,Carga_Reales!$A:$A,$A67,Carga_Reales!$B:$B,$C67),SUMIFS(Proyecciones!$L:$L,Proyecciones!$A:$A,$A67,Proyecciones!$B:$B,$C67))*IF($B67="REAL",1,IF(Resumen!$B$5="Conservador",Supuestos!$E$5,IF(Resumen!$B$5="Optimista",Supuestos!$E$7,Supuestos!$E$6)))</x:f>
        <x:v>42400000</x:v>
      </x:c>
      <x:c r="N67" s="16" t="n">
        <x:f>E67+G67+H67+I67+J67+K67</x:f>
        <x:v>558100268.5871584</x:v>
      </x:c>
      <x:c r="O67" s="16" t="n">
        <x:f>E67-F67+G67+H67+I67+J67+K67-L67-M67</x:f>
        <x:v>21381049.509938143</x:v>
      </x:c>
      <x:c r="P67" s="16" t="n">
        <x:f>O67-IF($B67="REAL",SUMIFS(Carga_Reales!$M:$M,Carga_Reales!$A:$A,$A67,Carga_Reales!$B:$B,$C67),SUMIFS(Proyecciones!$M:$M,Proyecciones!$A:$A,$A67,Proyecciones!$B:$B,$C67))-IF($B67="REAL",SUMIFS(Carga_Reales!$N:$N,Carga_Reales!$A:$A,$A67,Carga_Reales!$B:$B,$C67),SUMIFS(Proyecciones!$N:$N,Proyecciones!$A:$A,$A67,Proyecciones!$B:$B,$C67))</x:f>
        <x:v>12597682.181459773</x:v>
      </x:c>
      <x:c r="Q67" s="16" t="n">
        <x:f>IF($B67="REAL",SUMIFS(Carga_Reales!$O:$O,Carga_Reales!$A:$A,$A67,Carga_Reales!$B:$B,$C67),SUMIFS(Proyecciones!$O:$O,Proyecciones!$A:$A,$A67,Proyecciones!$B:$B,$C67))</x:f>
        <x:v>0</x:v>
      </x:c>
      <x:c r="R67" s="16" t="n">
        <x:f>O67-Q67</x:f>
        <x:v>21381049.509938143</x:v>
      </x:c>
      <x:c r="S67" s="16" t="n">
        <x:f>E67-F67</x:f>
        <x:v>78364515.27298003</x:v>
      </x:c>
      <x:c r="T67" s="16" t="n">
        <x:f>L67+M67</x:f>
        <x:v>74265823.56358829</x:v>
      </x:c>
      <x:c r="U67" t="n">
        <x:f>IFERROR((L67+M67)/MAX(1,(S67+G67)/MAX(1,D67)),0)</x:f>
        <x:v>60.13458608826855</x:v>
      </x:c>
    </x:row>
    <x:row r="68">
      <x:c r="A68" s="26" t="n">
        <x:v>46661</x:v>
      </x:c>
      <x:c r="B68" t="str">
        <x:f>IF(EOMONTH($A68,0)&lt;=Resumen!$B$4,"REAL","PROYECTADO")</x:f>
        <x:v>PROYECTADO</x:v>
      </x:c>
      <x:c r="C68" t="str">
        <x:v>Moto para Todos</x:v>
      </x:c>
      <x:c r="D68" s="15" t="n">
        <x:f>IF($B68="REAL",SUMIFS(Carga_Reales!$C:$C,Carga_Reales!$A:$A,$A68,Carga_Reales!$B:$B,$C68),SUMIFS(Proyecciones!$C:$C,Proyecciones!$A:$A,$A68,Proyecciones!$B:$B,$C68))*IF($B68="REAL",1,IF(Resumen!$B$5="Conservador",Supuestos!$B$5,IF(Resumen!$B$5="Optimista",Supuestos!$B$7,Supuestos!$B$6)))</x:f>
        <x:v>198.166666666667</x:v>
      </x:c>
      <x:c r="E68" s="16" t="n">
        <x:f>IF($B68="REAL",SUMIFS(Carga_Reales!$D:$D,Carga_Reales!$A:$A,$A68,Carga_Reales!$B:$B,$C68),SUMIFS(Proyecciones!$D:$D,Proyecciones!$A:$A,$A68,Proyecciones!$B:$B,$C68))*IF($B68="REAL",1,IF(Resumen!$B$5="Conservador",Supuestos!$B$5,IF(Resumen!$B$5="Optimista",Supuestos!$B$7,Supuestos!$B$6))*IF(Resumen!$B$5="Conservador",Supuestos!$C$5,IF(Resumen!$B$5="Optimista",Supuestos!$C$7,Supuestos!$C$6)))</x:f>
        <x:v>1129939992</x:v>
      </x:c>
      <x:c r="F68" s="16" t="n">
        <x:f>IF($B68="REAL",SUMIFS(Carga_Reales!$E:$E,Carga_Reales!$A:$A,$A68,Carga_Reales!$B:$B,$C68),SUMIFS(Proyecciones!$E:$E,Proyecciones!$A:$A,$A68,Proyecciones!$B:$B,$C68))*IF($B68="REAL",1,IF(Resumen!$B$5="Conservador",Supuestos!$B$5,IF(Resumen!$B$5="Optimista",Supuestos!$B$7,Supuestos!$B$6))*IF(Resumen!$B$5="Conservador",Supuestos!$D$5,IF(Resumen!$B$5="Optimista",Supuestos!$D$7,Supuestos!$D$6)))</x:f>
        <x:v>931183547.4072</x:v>
      </x:c>
      <x:c r="G68" s="16" t="n">
        <x:f>IF($B68="REAL",SUMIFS(Carga_Reales!$F:$F,Carga_Reales!$A:$A,$A68,Carga_Reales!$B:$B,$C68),SUMIFS(Proyecciones!$F:$F,Proyecciones!$A:$A,$A68,Proyecciones!$B:$B,$C68))*IF($B68="REAL",1,IF(Resumen!$B$5="Conservador",Supuestos!$B$5,IF(Resumen!$B$5="Optimista",Supuestos!$B$7,Supuestos!$B$6)))</x:f>
        <x:v>33688333.3333333</x:v>
      </x:c>
      <x:c r="H68" s="16" t="n">
        <x:f>IF($B68="REAL",SUMIFS(Carga_Reales!$G:$G,Carga_Reales!$A:$A,$A68,Carga_Reales!$B:$B,$C68),SUMIFS(Proyecciones!$G:$G,Proyecciones!$A:$A,$A68,Proyecciones!$B:$B,$C68))*IF($B68="REAL",1,IF(Resumen!$B$5="Conservador",Supuestos!$B$5,IF(Resumen!$B$5="Optimista",Supuestos!$B$7,Supuestos!$B$6)))</x:f>
        <x:v>0</x:v>
      </x:c>
      <x:c r="I68" s="16" t="n">
        <x:f>IF($B68="REAL",SUMIFS(Carga_Reales!$H:$H,Carga_Reales!$A:$A,$A68,Carga_Reales!$B:$B,$C68),SUMIFS(Proyecciones!$H:$H,Proyecciones!$A:$A,$A68,Proyecciones!$B:$B,$C68))*IF($B68="REAL",1,IF(Resumen!$B$5="Conservador",Supuestos!$B$5,IF(Resumen!$B$5="Optimista",Supuestos!$B$7,Supuestos!$B$6)))</x:f>
        <x:v>0</x:v>
      </x:c>
      <x:c r="J68" s="16" t="n">
        <x:f>IF($B68="REAL",SUMIFS(Carga_Reales!$I:$I,Carga_Reales!$A:$A,$A68,Carga_Reales!$B:$B,$C68),SUMIFS(Proyecciones!$I:$I,Proyecciones!$A:$A,$A68,Proyecciones!$B:$B,$C68))*IF($B68="REAL",1,IF(Resumen!$B$5="Conservador",Supuestos!$B$5,IF(Resumen!$B$5="Optimista",Supuestos!$B$7,Supuestos!$B$6)))</x:f>
        <x:v>0</x:v>
      </x:c>
      <x:c r="K68" s="16" t="n">
        <x:f>IF($B68="REAL",SUMIFS(Carga_Reales!$J:$J,Carga_Reales!$A:$A,$A68,Carga_Reales!$B:$B,$C68),SUMIFS(Proyecciones!$J:$J,Proyecciones!$A:$A,$A68,Proyecciones!$B:$B,$C68))*IF($B68="REAL",1,IF(Resumen!$B$5="Conservador",Supuestos!$B$5,IF(Resumen!$B$5="Optimista",Supuestos!$B$7,Supuestos!$B$6)))</x:f>
        <x:v>66828799.0894136</x:v>
      </x:c>
      <x:c r="L68" s="16" t="n">
        <x:f>IF($B68="REAL",SUMIFS(Carga_Reales!$K:$K,Carga_Reales!$A:$A,$A68,Carga_Reales!$B:$B,$C68),SUMIFS(Proyecciones!$K:$K,Proyecciones!$A:$A,$A68,Proyecciones!$B:$B,$C68))*IF($B68="REAL",1,IF(Resumen!$B$5="Conservador",Supuestos!$E$5,IF(Resumen!$B$5="Optimista",Supuestos!$E$7,Supuestos!$E$6)))</x:f>
        <x:v>90774371.830064</x:v>
      </x:c>
      <x:c r="M68" s="16" t="n">
        <x:f>IF($B68="REAL",SUMIFS(Carga_Reales!$L:$L,Carga_Reales!$A:$A,$A68,Carga_Reales!$B:$B,$C68),SUMIFS(Proyecciones!$L:$L,Proyecciones!$A:$A,$A68,Proyecciones!$B:$B,$C68))*IF($B68="REAL",1,IF(Resumen!$B$5="Conservador",Supuestos!$E$5,IF(Resumen!$B$5="Optimista",Supuestos!$E$7,Supuestos!$E$6)))</x:f>
        <x:v>51304000</x:v>
      </x:c>
      <x:c r="N68" s="16" t="n">
        <x:f>E68+G68+H68+I68+J68+K68</x:f>
        <x:v>1230457124.422747</x:v>
      </x:c>
      <x:c r="O68" s="16" t="n">
        <x:f>E68-F68+G68+H68+I68+J68+K68-L68-M68</x:f>
        <x:v>157195205.18548292</x:v>
      </x:c>
      <x:c r="P68" s="16" t="n">
        <x:f>O68-IF($B68="REAL",SUMIFS(Carga_Reales!$M:$M,Carga_Reales!$A:$A,$A68,Carga_Reales!$B:$B,$C68),SUMIFS(Proyecciones!$M:$M,Proyecciones!$A:$A,$A68,Proyecciones!$B:$B,$C68))-IF($B68="REAL",SUMIFS(Carga_Reales!$N:$N,Carga_Reales!$A:$A,$A68,Carga_Reales!$B:$B,$C68),SUMIFS(Proyecciones!$N:$N,Proyecciones!$A:$A,$A68,Proyecciones!$B:$B,$C68))</x:f>
        <x:v>99576883.37056392</x:v>
      </x:c>
      <x:c r="Q68" s="16" t="n">
        <x:f>IF($B68="REAL",SUMIFS(Carga_Reales!$O:$O,Carga_Reales!$A:$A,$A68,Carga_Reales!$B:$B,$C68),SUMIFS(Proyecciones!$O:$O,Proyecciones!$A:$A,$A68,Proyecciones!$B:$B,$C68))</x:f>
        <x:v>0</x:v>
      </x:c>
      <x:c r="R68" s="16" t="n">
        <x:f>O68-Q68</x:f>
        <x:v>157195205.18548292</x:v>
      </x:c>
      <x:c r="S68" s="16" t="n">
        <x:f>E68-F68</x:f>
        <x:v>198756444.59280002</x:v>
      </x:c>
      <x:c r="T68" s="16" t="n">
        <x:f>L68+M68</x:f>
        <x:v>142078371.830064</x:v>
      </x:c>
      <x:c r="U68" t="n">
        <x:f>IFERROR((L68+M68)/MAX(1,(S68+G68)/MAX(1,D68)),0)</x:f>
        <x:v>121.12639226482543</x:v>
      </x:c>
    </x:row>
    <x:row r="69">
      <x:c r="A69" s="26" t="n">
        <x:v>46661</x:v>
      </x:c>
      <x:c r="B69" t="str">
        <x:f>IF(EOMONTH($A69,0)&lt;=Resumen!$B$4,"REAL","PROYECTADO")</x:f>
        <x:v>PROYECTADO</x:v>
      </x:c>
      <x:c r="C69" t="str">
        <x:v>Verificarte</x:v>
      </x:c>
      <x:c r="D69" s="15" t="n">
        <x:f>IF($B69="REAL",SUMIFS(Carga_Reales!$C:$C,Carga_Reales!$A:$A,$A69,Carga_Reales!$B:$B,$C69),SUMIFS(Proyecciones!$C:$C,Proyecciones!$A:$A,$A69,Proyecciones!$B:$B,$C69))*IF($B69="REAL",1,IF(Resumen!$B$5="Conservador",Supuestos!$B$5,IF(Resumen!$B$5="Optimista",Supuestos!$B$7,Supuestos!$B$6)))</x:f>
        <x:v>206.383333333333</x:v>
      </x:c>
      <x:c r="E69" s="16" t="n">
        <x:f>IF($B69="REAL",SUMIFS(Carga_Reales!$D:$D,Carga_Reales!$A:$A,$A69,Carga_Reales!$B:$B,$C69),SUMIFS(Proyecciones!$D:$D,Proyecciones!$A:$A,$A69,Proyecciones!$B:$B,$C69))*IF($B69="REAL",1,IF(Resumen!$B$5="Conservador",Supuestos!$B$5,IF(Resumen!$B$5="Optimista",Supuestos!$B$7,Supuestos!$B$6))*IF(Resumen!$B$5="Conservador",Supuestos!$C$5,IF(Resumen!$B$5="Optimista",Supuestos!$C$7,Supuestos!$C$6)))</x:f>
        <x:v>1925053543.81667</x:v>
      </x:c>
      <x:c r="F69" s="16" t="n">
        <x:f>IF($B69="REAL",SUMIFS(Carga_Reales!$E:$E,Carga_Reales!$A:$A,$A69,Carga_Reales!$B:$B,$C69),SUMIFS(Proyecciones!$E:$E,Proyecciones!$A:$A,$A69,Proyecciones!$B:$B,$C69))*IF($B69="REAL",1,IF(Resumen!$B$5="Conservador",Supuestos!$B$5,IF(Resumen!$B$5="Optimista",Supuestos!$B$7,Supuestos!$B$6))*IF(Resumen!$B$5="Conservador",Supuestos!$D$5,IF(Resumen!$B$5="Optimista",Supuestos!$D$7,Supuestos!$D$6)))</x:f>
        <x:v>1607419709.08692</x:v>
      </x:c>
      <x:c r="G69" s="16" t="n">
        <x:f>IF($B69="REAL",SUMIFS(Carga_Reales!$F:$F,Carga_Reales!$A:$A,$A69,Carga_Reales!$B:$B,$C69),SUMIFS(Proyecciones!$F:$F,Proyecciones!$A:$A,$A69,Proyecciones!$B:$B,$C69))*IF($B69="REAL",1,IF(Resumen!$B$5="Conservador",Supuestos!$B$5,IF(Resumen!$B$5="Optimista",Supuestos!$B$7,Supuestos!$B$6)))</x:f>
        <x:v>25963023.3333333</x:v>
      </x:c>
      <x:c r="H69" s="16" t="n">
        <x:f>IF($B69="REAL",SUMIFS(Carga_Reales!$G:$G,Carga_Reales!$A:$A,$A69,Carga_Reales!$B:$B,$C69),SUMIFS(Proyecciones!$G:$G,Proyecciones!$A:$A,$A69,Proyecciones!$B:$B,$C69))*IF($B69="REAL",1,IF(Resumen!$B$5="Conservador",Supuestos!$B$5,IF(Resumen!$B$5="Optimista",Supuestos!$B$7,Supuestos!$B$6)))</x:f>
        <x:v>0</x:v>
      </x:c>
      <x:c r="I69" s="16" t="n">
        <x:f>IF($B69="REAL",SUMIFS(Carga_Reales!$H:$H,Carga_Reales!$A:$A,$A69,Carga_Reales!$B:$B,$C69),SUMIFS(Proyecciones!$H:$H,Proyecciones!$A:$A,$A69,Proyecciones!$B:$B,$C69))*IF($B69="REAL",1,IF(Resumen!$B$5="Conservador",Supuestos!$B$5,IF(Resumen!$B$5="Optimista",Supuestos!$B$7,Supuestos!$B$6)))</x:f>
        <x:v>0</x:v>
      </x:c>
      <x:c r="J69" s="16" t="n">
        <x:f>IF($B69="REAL",SUMIFS(Carga_Reales!$I:$I,Carga_Reales!$A:$A,$A69,Carga_Reales!$B:$B,$C69),SUMIFS(Proyecciones!$I:$I,Proyecciones!$A:$A,$A69,Proyecciones!$B:$B,$C69))*IF($B69="REAL",1,IF(Resumen!$B$5="Conservador",Supuestos!$B$5,IF(Resumen!$B$5="Optimista",Supuestos!$B$7,Supuestos!$B$6)))</x:f>
        <x:v>0</x:v>
      </x:c>
      <x:c r="K69" s="16" t="n">
        <x:f>IF($B69="REAL",SUMIFS(Carga_Reales!$J:$J,Carga_Reales!$A:$A,$A69,Carga_Reales!$B:$B,$C69),SUMIFS(Proyecciones!$J:$J,Proyecciones!$A:$A,$A69,Proyecciones!$B:$B,$C69))*IF($B69="REAL",1,IF(Resumen!$B$5="Conservador",Supuestos!$B$5,IF(Resumen!$B$5="Optimista",Supuestos!$B$7,Supuestos!$B$6)))</x:f>
        <x:v>0</x:v>
      </x:c>
      <x:c r="L69" s="16" t="n">
        <x:f>IF($B69="REAL",SUMIFS(Carga_Reales!$K:$K,Carga_Reales!$A:$A,$A69,Carga_Reales!$B:$B,$C69),SUMIFS(Proyecciones!$K:$K,Proyecciones!$A:$A,$A69,Proyecciones!$B:$B,$C69))*IF($B69="REAL",1,IF(Resumen!$B$5="Conservador",Supuestos!$E$5,IF(Resumen!$B$5="Optimista",Supuestos!$E$7,Supuestos!$E$6)))</x:f>
        <x:v>73089161.6281478</x:v>
      </x:c>
      <x:c r="M69" s="16" t="n">
        <x:f>IF($B69="REAL",SUMIFS(Carga_Reales!$L:$L,Carga_Reales!$A:$A,$A69,Carga_Reales!$B:$B,$C69),SUMIFS(Proyecciones!$L:$L,Proyecciones!$A:$A,$A69,Proyecciones!$B:$B,$C69))*IF($B69="REAL",1,IF(Resumen!$B$5="Conservador",Supuestos!$E$5,IF(Resumen!$B$5="Optimista",Supuestos!$E$7,Supuestos!$E$6)))</x:f>
        <x:v>75260000</x:v>
      </x:c>
      <x:c r="N69" s="16" t="n">
        <x:f>E69+G69+H69+I69+J69+K69</x:f>
        <x:v>1951016567.1500032</x:v>
      </x:c>
      <x:c r="O69" s="16" t="n">
        <x:f>E69-F69+G69+H69+I69+J69+K69-L69-M69</x:f>
        <x:v>195247696.43493545</x:v>
      </x:c>
      <x:c r="P69" s="16" t="n">
        <x:f>O69-IF($B69="REAL",SUMIFS(Carga_Reales!$M:$M,Carga_Reales!$A:$A,$A69,Carga_Reales!$B:$B,$C69),SUMIFS(Proyecciones!$M:$M,Proyecciones!$A:$A,$A69,Proyecciones!$B:$B,$C69))-IF($B69="REAL",SUMIFS(Carga_Reales!$N:$N,Carga_Reales!$A:$A,$A69,Carga_Reales!$B:$B,$C69),SUMIFS(Proyecciones!$N:$N,Proyecciones!$A:$A,$A69,Proyecciones!$B:$B,$C69))</x:f>
        <x:v>124311002.68270795</x:v>
      </x:c>
      <x:c r="Q69" s="16" t="n">
        <x:f>IF($B69="REAL",SUMIFS(Carga_Reales!$O:$O,Carga_Reales!$A:$A,$A69,Carga_Reales!$B:$B,$C69),SUMIFS(Proyecciones!$O:$O,Proyecciones!$A:$A,$A69,Proyecciones!$B:$B,$C69))</x:f>
        <x:v>0</x:v>
      </x:c>
      <x:c r="R69" s="16" t="n">
        <x:f>O69-Q69</x:f>
        <x:v>195247696.43493545</x:v>
      </x:c>
      <x:c r="S69" s="16" t="n">
        <x:f>E69-F69</x:f>
        <x:v>317633834.7297499</x:v>
      </x:c>
      <x:c r="T69" s="16" t="n">
        <x:f>L69+M69</x:f>
        <x:v>148349161.62814778</x:v>
      </x:c>
      <x:c r="U69" t="n">
        <x:f>IFERROR((L69+M69)/MAX(1,(S69+G69)/MAX(1,D69)),0)</x:f>
        <x:v>89.1067358607842</x:v>
      </x:c>
    </x:row>
    <x:row r="70">
      <x:c r="A70" s="26" t="n">
        <x:v>46661</x:v>
      </x:c>
      <x:c r="B70" t="str">
        <x:f>IF(EOMONTH($A70,0)&lt;=Resumen!$B$4,"REAL","PROYECTADO")</x:f>
        <x:v>PROYECTADO</x:v>
      </x:c>
      <x:c r="C70" t="str">
        <x:v>TuClick</x:v>
      </x:c>
      <x:c r="D70" s="15" t="n">
        <x:f>IF($B70="REAL",SUMIFS(Carga_Reales!$C:$C,Carga_Reales!$A:$A,$A70,Carga_Reales!$B:$B,$C70),SUMIFS(Proyecciones!$C:$C,Proyecciones!$A:$A,$A70,Proyecciones!$B:$B,$C70))*IF($B70="REAL",1,IF(Resumen!$B$5="Conservador",Supuestos!$B$5,IF(Resumen!$B$5="Optimista",Supuestos!$B$7,Supuestos!$B$6)))</x:f>
        <x:v>78.7833333333333</x:v>
      </x:c>
      <x:c r="E70" s="16" t="n">
        <x:f>IF($B70="REAL",SUMIFS(Carga_Reales!$D:$D,Carga_Reales!$A:$A,$A70,Carga_Reales!$B:$B,$C70),SUMIFS(Proyecciones!$D:$D,Proyecciones!$A:$A,$A70,Proyecciones!$B:$B,$C70))*IF($B70="REAL",1,IF(Resumen!$B$5="Conservador",Supuestos!$B$5,IF(Resumen!$B$5="Optimista",Supuestos!$B$7,Supuestos!$B$6))*IF(Resumen!$B$5="Conservador",Supuestos!$C$5,IF(Resumen!$B$5="Optimista",Supuestos!$C$7,Supuestos!$C$6)))</x:f>
        <x:v>550147719.483333</x:v>
      </x:c>
      <x:c r="F70" s="16" t="n">
        <x:f>IF($B70="REAL",SUMIFS(Carga_Reales!$E:$E,Carga_Reales!$A:$A,$A70,Carga_Reales!$B:$B,$C70),SUMIFS(Proyecciones!$E:$E,Proyecciones!$A:$A,$A70,Proyecciones!$B:$B,$C70))*IF($B70="REAL",1,IF(Resumen!$B$5="Conservador",Supuestos!$B$5,IF(Resumen!$B$5="Optimista",Supuestos!$B$7,Supuestos!$B$6))*IF(Resumen!$B$5="Conservador",Supuestos!$D$5,IF(Resumen!$B$5="Optimista",Supuestos!$D$7,Supuestos!$D$6)))</x:f>
        <x:v>470431314.930198</x:v>
      </x:c>
      <x:c r="G70" s="16" t="n">
        <x:f>IF($B70="REAL",SUMIFS(Carga_Reales!$F:$F,Carga_Reales!$A:$A,$A70,Carga_Reales!$B:$B,$C70),SUMIFS(Proyecciones!$F:$F,Proyecciones!$A:$A,$A70,Proyecciones!$B:$B,$C70))*IF($B70="REAL",1,IF(Resumen!$B$5="Conservador",Supuestos!$B$5,IF(Resumen!$B$5="Optimista",Supuestos!$B$7,Supuestos!$B$6)))</x:f>
        <x:v>17580500.8333333</x:v>
      </x:c>
      <x:c r="H70" s="16" t="n">
        <x:f>IF($B70="REAL",SUMIFS(Carga_Reales!$G:$G,Carga_Reales!$A:$A,$A70,Carga_Reales!$B:$B,$C70),SUMIFS(Proyecciones!$G:$G,Proyecciones!$A:$A,$A70,Proyecciones!$B:$B,$C70))*IF($B70="REAL",1,IF(Resumen!$B$5="Conservador",Supuestos!$B$5,IF(Resumen!$B$5="Optimista",Supuestos!$B$7,Supuestos!$B$6)))</x:f>
        <x:v>0</x:v>
      </x:c>
      <x:c r="I70" s="16" t="n">
        <x:f>IF($B70="REAL",SUMIFS(Carga_Reales!$H:$H,Carga_Reales!$A:$A,$A70,Carga_Reales!$B:$B,$C70),SUMIFS(Proyecciones!$H:$H,Proyecciones!$A:$A,$A70,Proyecciones!$B:$B,$C70))*IF($B70="REAL",1,IF(Resumen!$B$5="Conservador",Supuestos!$B$5,IF(Resumen!$B$5="Optimista",Supuestos!$B$7,Supuestos!$B$6)))</x:f>
        <x:v>0</x:v>
      </x:c>
      <x:c r="J70" s="16" t="n">
        <x:f>IF($B70="REAL",SUMIFS(Carga_Reales!$I:$I,Carga_Reales!$A:$A,$A70,Carga_Reales!$B:$B,$C70),SUMIFS(Proyecciones!$I:$I,Proyecciones!$A:$A,$A70,Proyecciones!$B:$B,$C70))*IF($B70="REAL",1,IF(Resumen!$B$5="Conservador",Supuestos!$B$5,IF(Resumen!$B$5="Optimista",Supuestos!$B$7,Supuestos!$B$6)))</x:f>
        <x:v>0</x:v>
      </x:c>
      <x:c r="K70" s="16" t="n">
        <x:f>IF($B70="REAL",SUMIFS(Carga_Reales!$J:$J,Carga_Reales!$A:$A,$A70,Carga_Reales!$B:$B,$C70),SUMIFS(Proyecciones!$J:$J,Proyecciones!$A:$A,$A70,Proyecciones!$B:$B,$C70))*IF($B70="REAL",1,IF(Resumen!$B$5="Conservador",Supuestos!$B$5,IF(Resumen!$B$5="Optimista",Supuestos!$B$7,Supuestos!$B$6)))</x:f>
        <x:v>0</x:v>
      </x:c>
      <x:c r="L70" s="16" t="n">
        <x:f>IF($B70="REAL",SUMIFS(Carga_Reales!$K:$K,Carga_Reales!$A:$A,$A70,Carga_Reales!$B:$B,$C70),SUMIFS(Proyecciones!$K:$K,Proyecciones!$A:$A,$A70,Proyecciones!$B:$B,$C70))*IF($B70="REAL",1,IF(Resumen!$B$5="Conservador",Supuestos!$E$5,IF(Resumen!$B$5="Optimista",Supuestos!$E$7,Supuestos!$E$6)))</x:f>
        <x:v>31865823.5635883</x:v>
      </x:c>
      <x:c r="M70" s="16" t="n">
        <x:f>IF($B70="REAL",SUMIFS(Carga_Reales!$L:$L,Carga_Reales!$A:$A,$A70,Carga_Reales!$B:$B,$C70),SUMIFS(Proyecciones!$L:$L,Proyecciones!$A:$A,$A70,Proyecciones!$B:$B,$C70))*IF($B70="REAL",1,IF(Resumen!$B$5="Conservador",Supuestos!$E$5,IF(Resumen!$B$5="Optimista",Supuestos!$E$7,Supuestos!$E$6)))</x:f>
        <x:v>42400000</x:v>
      </x:c>
      <x:c r="N70" s="16" t="n">
        <x:f>E70+G70+H70+I70+J70+K70</x:f>
        <x:v>567728220.3166662</x:v>
      </x:c>
      <x:c r="O70" s="16" t="n">
        <x:f>E70-F70+G70+H70+I70+J70+K70-L70-M70</x:f>
        <x:v>23031081.822879978</x:v>
      </x:c>
      <x:c r="P70" s="16" t="n">
        <x:f>O70-IF($B70="REAL",SUMIFS(Carga_Reales!$M:$M,Carga_Reales!$A:$A,$A70,Carga_Reales!$B:$B,$C70),SUMIFS(Proyecciones!$M:$M,Proyecciones!$A:$A,$A70,Proyecciones!$B:$B,$C70))-IF($B70="REAL",SUMIFS(Carga_Reales!$N:$N,Carga_Reales!$A:$A,$A70,Carga_Reales!$B:$B,$C70),SUMIFS(Proyecciones!$N:$N,Proyecciones!$A:$A,$A70,Proyecciones!$B:$B,$C70))</x:f>
        <x:v>13670203.184871968</x:v>
      </x:c>
      <x:c r="Q70" s="16" t="n">
        <x:f>IF($B70="REAL",SUMIFS(Carga_Reales!$O:$O,Carga_Reales!$A:$A,$A70,Carga_Reales!$B:$B,$C70),SUMIFS(Proyecciones!$O:$O,Proyecciones!$A:$A,$A70,Proyecciones!$B:$B,$C70))</x:f>
        <x:v>0</x:v>
      </x:c>
      <x:c r="R70" s="16" t="n">
        <x:f>O70-Q70</x:f>
        <x:v>23031081.822879978</x:v>
      </x:c>
      <x:c r="S70" s="16" t="n">
        <x:f>E70-F70</x:f>
        <x:v>79716404.55313498</x:v>
      </x:c>
      <x:c r="T70" s="16" t="n">
        <x:f>L70+M70</x:f>
        <x:v>74265823.56358829</x:v>
      </x:c>
      <x:c r="U70" t="n">
        <x:f>IFERROR((L70+M70)/MAX(1,(S70+G70)/MAX(1,D70)),0)</x:f>
        <x:v>60.13458608826854</x:v>
      </x:c>
    </x:row>
    <x:row r="71">
      <x:c r="A71" s="26" t="n">
        <x:v>46692</x:v>
      </x:c>
      <x:c r="B71" t="str">
        <x:f>IF(EOMONTH($A71,0)&lt;=Resumen!$B$4,"REAL","PROYECTADO")</x:f>
        <x:v>PROYECTADO</x:v>
      </x:c>
      <x:c r="C71" t="str">
        <x:v>Moto para Todos</x:v>
      </x:c>
      <x:c r="D71" s="15" t="n">
        <x:f>IF($B71="REAL",SUMIFS(Carga_Reales!$C:$C,Carga_Reales!$A:$A,$A71,Carga_Reales!$B:$B,$C71),SUMIFS(Proyecciones!$C:$C,Proyecciones!$A:$A,$A71,Proyecciones!$B:$B,$C71))*IF($B71="REAL",1,IF(Resumen!$B$5="Conservador",Supuestos!$B$5,IF(Resumen!$B$5="Optimista",Supuestos!$B$7,Supuestos!$B$6)))</x:f>
        <x:v>201.639344262295</x:v>
      </x:c>
      <x:c r="E71" s="16" t="n">
        <x:f>IF($B71="REAL",SUMIFS(Carga_Reales!$D:$D,Carga_Reales!$A:$A,$A71,Carga_Reales!$B:$B,$C71),SUMIFS(Proyecciones!$D:$D,Proyecciones!$A:$A,$A71,Proyecciones!$B:$B,$C71))*IF($B71="REAL",1,IF(Resumen!$B$5="Conservador",Supuestos!$B$5,IF(Resumen!$B$5="Optimista",Supuestos!$B$7,Supuestos!$B$6))*IF(Resumen!$B$5="Conservador",Supuestos!$C$5,IF(Resumen!$B$5="Optimista",Supuestos!$C$7,Supuestos!$C$6)))</x:f>
        <x:v>1149741088.52459</x:v>
      </x:c>
      <x:c r="F71" s="16" t="n">
        <x:f>IF($B71="REAL",SUMIFS(Carga_Reales!$E:$E,Carga_Reales!$A:$A,$A71,Carga_Reales!$B:$B,$C71),SUMIFS(Proyecciones!$E:$E,Proyecciones!$A:$A,$A71,Proyecciones!$B:$B,$C71))*IF($B71="REAL",1,IF(Resumen!$B$5="Conservador",Supuestos!$B$5,IF(Resumen!$B$5="Optimista",Supuestos!$B$7,Supuestos!$B$6))*IF(Resumen!$B$5="Conservador",Supuestos!$D$5,IF(Resumen!$B$5="Optimista",Supuestos!$D$7,Supuestos!$D$6)))</x:f>
        <x:v>947501631.053115</x:v>
      </x:c>
      <x:c r="G71" s="16" t="n">
        <x:f>IF($B71="REAL",SUMIFS(Carga_Reales!$F:$F,Carga_Reales!$A:$A,$A71,Carga_Reales!$B:$B,$C71),SUMIFS(Proyecciones!$F:$F,Proyecciones!$A:$A,$A71,Proyecciones!$B:$B,$C71))*IF($B71="REAL",1,IF(Resumen!$B$5="Conservador",Supuestos!$B$5,IF(Resumen!$B$5="Optimista",Supuestos!$B$7,Supuestos!$B$6)))</x:f>
        <x:v>34278688.5245902</x:v>
      </x:c>
      <x:c r="H71" s="16" t="n">
        <x:f>IF($B71="REAL",SUMIFS(Carga_Reales!$G:$G,Carga_Reales!$A:$A,$A71,Carga_Reales!$B:$B,$C71),SUMIFS(Proyecciones!$G:$G,Proyecciones!$A:$A,$A71,Proyecciones!$B:$B,$C71))*IF($B71="REAL",1,IF(Resumen!$B$5="Conservador",Supuestos!$B$5,IF(Resumen!$B$5="Optimista",Supuestos!$B$7,Supuestos!$B$6)))</x:f>
        <x:v>0</x:v>
      </x:c>
      <x:c r="I71" s="16" t="n">
        <x:f>IF($B71="REAL",SUMIFS(Carga_Reales!$H:$H,Carga_Reales!$A:$A,$A71,Carga_Reales!$B:$B,$C71),SUMIFS(Proyecciones!$H:$H,Proyecciones!$A:$A,$A71,Proyecciones!$B:$B,$C71))*IF($B71="REAL",1,IF(Resumen!$B$5="Conservador",Supuestos!$B$5,IF(Resumen!$B$5="Optimista",Supuestos!$B$7,Supuestos!$B$6)))</x:f>
        <x:v>0</x:v>
      </x:c>
      <x:c r="J71" s="16" t="n">
        <x:f>IF($B71="REAL",SUMIFS(Carga_Reales!$I:$I,Carga_Reales!$A:$A,$A71,Carga_Reales!$B:$B,$C71),SUMIFS(Proyecciones!$I:$I,Proyecciones!$A:$A,$A71,Proyecciones!$B:$B,$C71))*IF($B71="REAL",1,IF(Resumen!$B$5="Conservador",Supuestos!$B$5,IF(Resumen!$B$5="Optimista",Supuestos!$B$7,Supuestos!$B$6)))</x:f>
        <x:v>0</x:v>
      </x:c>
      <x:c r="K71" s="16" t="n">
        <x:f>IF($B71="REAL",SUMIFS(Carga_Reales!$J:$J,Carga_Reales!$A:$A,$A71,Carga_Reales!$B:$B,$C71),SUMIFS(Proyecciones!$J:$J,Proyecciones!$A:$A,$A71,Proyecciones!$B:$B,$C71))*IF($B71="REAL",1,IF(Resumen!$B$5="Conservador",Supuestos!$B$5,IF(Resumen!$B$5="Optimista",Supuestos!$B$7,Supuestos!$B$6)))</x:f>
        <x:v>70940626.449759</x:v>
      </x:c>
      <x:c r="L71" s="16" t="n">
        <x:f>IF($B71="REAL",SUMIFS(Carga_Reales!$K:$K,Carga_Reales!$A:$A,$A71,Carga_Reales!$B:$B,$C71),SUMIFS(Proyecciones!$K:$K,Proyecciones!$A:$A,$A71,Proyecciones!$B:$B,$C71))*IF($B71="REAL",1,IF(Resumen!$B$5="Conservador",Supuestos!$E$5,IF(Resumen!$B$5="Optimista",Supuestos!$E$7,Supuestos!$E$6)))</x:f>
        <x:v>90774371.830064</x:v>
      </x:c>
      <x:c r="M71" s="16" t="n">
        <x:f>IF($B71="REAL",SUMIFS(Carga_Reales!$L:$L,Carga_Reales!$A:$A,$A71,Carga_Reales!$B:$B,$C71),SUMIFS(Proyecciones!$L:$L,Proyecciones!$A:$A,$A71,Proyecciones!$B:$B,$C71))*IF($B71="REAL",1,IF(Resumen!$B$5="Conservador",Supuestos!$E$5,IF(Resumen!$B$5="Optimista",Supuestos!$E$7,Supuestos!$E$6)))</x:f>
        <x:v>51304000</x:v>
      </x:c>
      <x:c r="N71" s="16" t="n">
        <x:f>E71+G71+H71+I71+J71+K71</x:f>
        <x:v>1254960403.4989393</x:v>
      </x:c>
      <x:c r="O71" s="16" t="n">
        <x:f>E71-F71+G71+H71+I71+J71+K71-L71-M71</x:f>
        <x:v>165380400.6157602</x:v>
      </x:c>
      <x:c r="P71" s="16" t="n">
        <x:f>O71-IF($B71="REAL",SUMIFS(Carga_Reales!$M:$M,Carga_Reales!$A:$A,$A71,Carga_Reales!$B:$B,$C71),SUMIFS(Proyecciones!$M:$M,Proyecciones!$A:$A,$A71,Proyecciones!$B:$B,$C71))-IF($B71="REAL",SUMIFS(Carga_Reales!$N:$N,Carga_Reales!$A:$A,$A71,Carga_Reales!$B:$B,$C71),SUMIFS(Proyecciones!$N:$N,Proyecciones!$A:$A,$A71,Proyecciones!$B:$B,$C71))</x:f>
        <x:v>104897260.400244</x:v>
      </x:c>
      <x:c r="Q71" s="16" t="n">
        <x:f>IF($B71="REAL",SUMIFS(Carga_Reales!$O:$O,Carga_Reales!$A:$A,$A71,Carga_Reales!$B:$B,$C71),SUMIFS(Proyecciones!$O:$O,Proyecciones!$A:$A,$A71,Proyecciones!$B:$B,$C71))</x:f>
        <x:v>0</x:v>
      </x:c>
      <x:c r="R71" s="16" t="n">
        <x:f>O71-Q71</x:f>
        <x:v>165380400.6157602</x:v>
      </x:c>
      <x:c r="S71" s="16" t="n">
        <x:f>E71-F71</x:f>
        <x:v>202239457.471475</x:v>
      </x:c>
      <x:c r="T71" s="16" t="n">
        <x:f>L71+M71</x:f>
        <x:v>142078371.830064</x:v>
      </x:c>
      <x:c r="U71" t="n">
        <x:f>IFERROR((L71+M71)/MAX(1,(S71+G71)/MAX(1,D71)),0)</x:f>
        <x:v>121.12639226482538</x:v>
      </x:c>
    </x:row>
    <x:row r="72">
      <x:c r="A72" s="26" t="n">
        <x:v>46692</x:v>
      </x:c>
      <x:c r="B72" t="str">
        <x:f>IF(EOMONTH($A72,0)&lt;=Resumen!$B$4,"REAL","PROYECTADO")</x:f>
        <x:v>PROYECTADO</x:v>
      </x:c>
      <x:c r="C72" t="str">
        <x:v>Verificarte</x:v>
      </x:c>
      <x:c r="D72" s="15" t="n">
        <x:f>IF($B72="REAL",SUMIFS(Carga_Reales!$C:$C,Carga_Reales!$A:$A,$A72,Carga_Reales!$B:$B,$C72),SUMIFS(Proyecciones!$C:$C,Proyecciones!$A:$A,$A72,Proyecciones!$B:$B,$C72))*IF($B72="REAL",1,IF(Resumen!$B$5="Conservador",Supuestos!$B$5,IF(Resumen!$B$5="Optimista",Supuestos!$B$7,Supuestos!$B$6)))</x:f>
        <x:v>210</x:v>
      </x:c>
      <x:c r="E72" s="16" t="n">
        <x:f>IF($B72="REAL",SUMIFS(Carga_Reales!$D:$D,Carga_Reales!$A:$A,$A72,Carga_Reales!$B:$B,$C72),SUMIFS(Proyecciones!$D:$D,Proyecciones!$A:$A,$A72,Proyecciones!$B:$B,$C72))*IF($B72="REAL",1,IF(Resumen!$B$5="Conservador",Supuestos!$B$5,IF(Resumen!$B$5="Optimista",Supuestos!$B$7,Supuestos!$B$6))*IF(Resumen!$B$5="Conservador",Supuestos!$C$5,IF(Resumen!$B$5="Optimista",Supuestos!$C$7,Supuestos!$C$6)))</x:f>
        <x:v>1958788230</x:v>
      </x:c>
      <x:c r="F72" s="16" t="n">
        <x:f>IF($B72="REAL",SUMIFS(Carga_Reales!$E:$E,Carga_Reales!$A:$A,$A72,Carga_Reales!$B:$B,$C72),SUMIFS(Proyecciones!$E:$E,Proyecciones!$A:$A,$A72,Proyecciones!$B:$B,$C72))*IF($B72="REAL",1,IF(Resumen!$B$5="Conservador",Supuestos!$B$5,IF(Resumen!$B$5="Optimista",Supuestos!$B$7,Supuestos!$B$6))*IF(Resumen!$B$5="Conservador",Supuestos!$D$5,IF(Resumen!$B$5="Optimista",Supuestos!$D$7,Supuestos!$D$6)))</x:f>
        <x:v>1635588172.05</x:v>
      </x:c>
      <x:c r="G72" s="16" t="n">
        <x:f>IF($B72="REAL",SUMIFS(Carga_Reales!$F:$F,Carga_Reales!$A:$A,$A72,Carga_Reales!$B:$B,$C72),SUMIFS(Proyecciones!$F:$F,Proyecciones!$A:$A,$A72,Proyecciones!$B:$B,$C72))*IF($B72="REAL",1,IF(Resumen!$B$5="Conservador",Supuestos!$B$5,IF(Resumen!$B$5="Optimista",Supuestos!$B$7,Supuestos!$B$6)))</x:f>
        <x:v>26418000</x:v>
      </x:c>
      <x:c r="H72" s="16" t="n">
        <x:f>IF($B72="REAL",SUMIFS(Carga_Reales!$G:$G,Carga_Reales!$A:$A,$A72,Carga_Reales!$B:$B,$C72),SUMIFS(Proyecciones!$G:$G,Proyecciones!$A:$A,$A72,Proyecciones!$B:$B,$C72))*IF($B72="REAL",1,IF(Resumen!$B$5="Conservador",Supuestos!$B$5,IF(Resumen!$B$5="Optimista",Supuestos!$B$7,Supuestos!$B$6)))</x:f>
        <x:v>0</x:v>
      </x:c>
      <x:c r="I72" s="16" t="n">
        <x:f>IF($B72="REAL",SUMIFS(Carga_Reales!$H:$H,Carga_Reales!$A:$A,$A72,Carga_Reales!$B:$B,$C72),SUMIFS(Proyecciones!$H:$H,Proyecciones!$A:$A,$A72,Proyecciones!$B:$B,$C72))*IF($B72="REAL",1,IF(Resumen!$B$5="Conservador",Supuestos!$B$5,IF(Resumen!$B$5="Optimista",Supuestos!$B$7,Supuestos!$B$6)))</x:f>
        <x:v>0</x:v>
      </x:c>
      <x:c r="J72" s="16" t="n">
        <x:f>IF($B72="REAL",SUMIFS(Carga_Reales!$I:$I,Carga_Reales!$A:$A,$A72,Carga_Reales!$B:$B,$C72),SUMIFS(Proyecciones!$I:$I,Proyecciones!$A:$A,$A72,Proyecciones!$B:$B,$C72))*IF($B72="REAL",1,IF(Resumen!$B$5="Conservador",Supuestos!$B$5,IF(Resumen!$B$5="Optimista",Supuestos!$B$7,Supuestos!$B$6)))</x:f>
        <x:v>0</x:v>
      </x:c>
      <x:c r="K72" s="16" t="n">
        <x:f>IF($B72="REAL",SUMIFS(Carga_Reales!$J:$J,Carga_Reales!$A:$A,$A72,Carga_Reales!$B:$B,$C72),SUMIFS(Proyecciones!$J:$J,Proyecciones!$A:$A,$A72,Proyecciones!$B:$B,$C72))*IF($B72="REAL",1,IF(Resumen!$B$5="Conservador",Supuestos!$B$5,IF(Resumen!$B$5="Optimista",Supuestos!$B$7,Supuestos!$B$6)))</x:f>
        <x:v>0</x:v>
      </x:c>
      <x:c r="L72" s="16" t="n">
        <x:f>IF($B72="REAL",SUMIFS(Carga_Reales!$K:$K,Carga_Reales!$A:$A,$A72,Carga_Reales!$B:$B,$C72),SUMIFS(Proyecciones!$K:$K,Proyecciones!$A:$A,$A72,Proyecciones!$B:$B,$C72))*IF($B72="REAL",1,IF(Resumen!$B$5="Conservador",Supuestos!$E$5,IF(Resumen!$B$5="Optimista",Supuestos!$E$7,Supuestos!$E$6)))</x:f>
        <x:v>73089161.6281478</x:v>
      </x:c>
      <x:c r="M72" s="16" t="n">
        <x:f>IF($B72="REAL",SUMIFS(Carga_Reales!$L:$L,Carga_Reales!$A:$A,$A72,Carga_Reales!$B:$B,$C72),SUMIFS(Proyecciones!$L:$L,Proyecciones!$A:$A,$A72,Proyecciones!$B:$B,$C72))*IF($B72="REAL",1,IF(Resumen!$B$5="Conservador",Supuestos!$E$5,IF(Resumen!$B$5="Optimista",Supuestos!$E$7,Supuestos!$E$6)))</x:f>
        <x:v>75260000</x:v>
      </x:c>
      <x:c r="N72" s="16" t="n">
        <x:f>E72+G72+H72+I72+J72+K72</x:f>
        <x:v>1985206230</x:v>
      </x:c>
      <x:c r="O72" s="16" t="n">
        <x:f>E72-F72+G72+H72+I72+J72+K72-L72-M72</x:f>
        <x:v>201268896.32185227</x:v>
      </x:c>
      <x:c r="P72" s="16" t="n">
        <x:f>O72-IF($B72="REAL",SUMIFS(Carga_Reales!$M:$M,Carga_Reales!$A:$A,$A72,Carga_Reales!$B:$B,$C72),SUMIFS(Proyecciones!$M:$M,Proyecciones!$A:$A,$A72,Proyecciones!$B:$B,$C72))-IF($B72="REAL",SUMIFS(Carga_Reales!$N:$N,Carga_Reales!$A:$A,$A72,Carga_Reales!$B:$B,$C72),SUMIFS(Proyecciones!$N:$N,Proyecciones!$A:$A,$A72,Proyecciones!$B:$B,$C72))</x:f>
        <x:v>128224782.60920396</x:v>
      </x:c>
      <x:c r="Q72" s="16" t="n">
        <x:f>IF($B72="REAL",SUMIFS(Carga_Reales!$O:$O,Carga_Reales!$A:$A,$A72,Carga_Reales!$B:$B,$C72),SUMIFS(Proyecciones!$O:$O,Proyecciones!$A:$A,$A72,Proyecciones!$B:$B,$C72))</x:f>
        <x:v>0</x:v>
      </x:c>
      <x:c r="R72" s="16" t="n">
        <x:f>O72-Q72</x:f>
        <x:v>201268896.32185227</x:v>
      </x:c>
      <x:c r="S72" s="16" t="n">
        <x:f>E72-F72</x:f>
        <x:v>323200057.95000005</x:v>
      </x:c>
      <x:c r="T72" s="16" t="n">
        <x:f>L72+M72</x:f>
        <x:v>148349161.62814778</x:v>
      </x:c>
      <x:c r="U72" t="n">
        <x:f>IFERROR((L72+M72)/MAX(1,(S72+G72)/MAX(1,D72)),0)</x:f>
        <x:v>89.1067358607843</x:v>
      </x:c>
    </x:row>
    <x:row r="73">
      <x:c r="A73" s="26" t="n">
        <x:v>46692</x:v>
      </x:c>
      <x:c r="B73" t="str">
        <x:f>IF(EOMONTH($A73,0)&lt;=Resumen!$B$4,"REAL","PROYECTADO")</x:f>
        <x:v>PROYECTADO</x:v>
      </x:c>
      <x:c r="C73" t="str">
        <x:v>TuClick</x:v>
      </x:c>
      <x:c r="D73" s="15" t="n">
        <x:f>IF($B73="REAL",SUMIFS(Carga_Reales!$C:$C,Carga_Reales!$A:$A,$A73,Carga_Reales!$B:$B,$C73),SUMIFS(Proyecciones!$C:$C,Proyecciones!$A:$A,$A73,Proyecciones!$B:$B,$C73))*IF($B73="REAL",1,IF(Resumen!$B$5="Conservador",Supuestos!$B$5,IF(Resumen!$B$5="Optimista",Supuestos!$B$7,Supuestos!$B$6)))</x:f>
        <x:v>80.1639344262295</x:v>
      </x:c>
      <x:c r="E73" s="16" t="n">
        <x:f>IF($B73="REAL",SUMIFS(Carga_Reales!$D:$D,Carga_Reales!$A:$A,$A73,Carga_Reales!$B:$B,$C73),SUMIFS(Proyecciones!$D:$D,Proyecciones!$A:$A,$A73,Proyecciones!$B:$B,$C73))*IF($B73="REAL",1,IF(Resumen!$B$5="Conservador",Supuestos!$B$5,IF(Resumen!$B$5="Optimista",Supuestos!$B$7,Supuestos!$B$6))*IF(Resumen!$B$5="Conservador",Supuestos!$C$5,IF(Resumen!$B$5="Optimista",Supuestos!$C$7,Supuestos!$C$6)))</x:f>
        <x:v>559788521.803278</x:v>
      </x:c>
      <x:c r="F73" s="16" t="n">
        <x:f>IF($B73="REAL",SUMIFS(Carga_Reales!$E:$E,Carga_Reales!$A:$A,$A73,Carga_Reales!$B:$B,$C73),SUMIFS(Proyecciones!$E:$E,Proyecciones!$A:$A,$A73,Proyecciones!$B:$B,$C73))*IF($B73="REAL",1,IF(Resumen!$B$5="Conservador",Supuestos!$B$5,IF(Resumen!$B$5="Optimista",Supuestos!$B$7,Supuestos!$B$6))*IF(Resumen!$B$5="Conservador",Supuestos!$D$5,IF(Resumen!$B$5="Optimista",Supuestos!$D$7,Supuestos!$D$6)))</x:f>
        <x:v>478675164.993983</x:v>
      </x:c>
      <x:c r="G73" s="16" t="n">
        <x:f>IF($B73="REAL",SUMIFS(Carga_Reales!$F:$F,Carga_Reales!$A:$A,$A73,Carga_Reales!$B:$B,$C73),SUMIFS(Proyecciones!$F:$F,Proyecciones!$A:$A,$A73,Proyecciones!$B:$B,$C73))*IF($B73="REAL",1,IF(Resumen!$B$5="Conservador",Supuestos!$B$5,IF(Resumen!$B$5="Optimista",Supuestos!$B$7,Supuestos!$B$6)))</x:f>
        <x:v>17888581.9672131</x:v>
      </x:c>
      <x:c r="H73" s="16" t="n">
        <x:f>IF($B73="REAL",SUMIFS(Carga_Reales!$G:$G,Carga_Reales!$A:$A,$A73,Carga_Reales!$B:$B,$C73),SUMIFS(Proyecciones!$G:$G,Proyecciones!$A:$A,$A73,Proyecciones!$B:$B,$C73))*IF($B73="REAL",1,IF(Resumen!$B$5="Conservador",Supuestos!$B$5,IF(Resumen!$B$5="Optimista",Supuestos!$B$7,Supuestos!$B$6)))</x:f>
        <x:v>0</x:v>
      </x:c>
      <x:c r="I73" s="16" t="n">
        <x:f>IF($B73="REAL",SUMIFS(Carga_Reales!$H:$H,Carga_Reales!$A:$A,$A73,Carga_Reales!$B:$B,$C73),SUMIFS(Proyecciones!$H:$H,Proyecciones!$A:$A,$A73,Proyecciones!$B:$B,$C73))*IF($B73="REAL",1,IF(Resumen!$B$5="Conservador",Supuestos!$B$5,IF(Resumen!$B$5="Optimista",Supuestos!$B$7,Supuestos!$B$6)))</x:f>
        <x:v>0</x:v>
      </x:c>
      <x:c r="J73" s="16" t="n">
        <x:f>IF($B73="REAL",SUMIFS(Carga_Reales!$I:$I,Carga_Reales!$A:$A,$A73,Carga_Reales!$B:$B,$C73),SUMIFS(Proyecciones!$I:$I,Proyecciones!$A:$A,$A73,Proyecciones!$B:$B,$C73))*IF($B73="REAL",1,IF(Resumen!$B$5="Conservador",Supuestos!$B$5,IF(Resumen!$B$5="Optimista",Supuestos!$B$7,Supuestos!$B$6)))</x:f>
        <x:v>0</x:v>
      </x:c>
      <x:c r="K73" s="16" t="n">
        <x:f>IF($B73="REAL",SUMIFS(Carga_Reales!$J:$J,Carga_Reales!$A:$A,$A73,Carga_Reales!$B:$B,$C73),SUMIFS(Proyecciones!$J:$J,Proyecciones!$A:$A,$A73,Proyecciones!$B:$B,$C73))*IF($B73="REAL",1,IF(Resumen!$B$5="Conservador",Supuestos!$B$5,IF(Resumen!$B$5="Optimista",Supuestos!$B$7,Supuestos!$B$6)))</x:f>
        <x:v>0</x:v>
      </x:c>
      <x:c r="L73" s="16" t="n">
        <x:f>IF($B73="REAL",SUMIFS(Carga_Reales!$K:$K,Carga_Reales!$A:$A,$A73,Carga_Reales!$B:$B,$C73),SUMIFS(Proyecciones!$K:$K,Proyecciones!$A:$A,$A73,Proyecciones!$B:$B,$C73))*IF($B73="REAL",1,IF(Resumen!$B$5="Conservador",Supuestos!$E$5,IF(Resumen!$B$5="Optimista",Supuestos!$E$7,Supuestos!$E$6)))</x:f>
        <x:v>31865823.5635883</x:v>
      </x:c>
      <x:c r="M73" s="16" t="n">
        <x:f>IF($B73="REAL",SUMIFS(Carga_Reales!$L:$L,Carga_Reales!$A:$A,$A73,Carga_Reales!$B:$B,$C73),SUMIFS(Proyecciones!$L:$L,Proyecciones!$A:$A,$A73,Proyecciones!$B:$B,$C73))*IF($B73="REAL",1,IF(Resumen!$B$5="Conservador",Supuestos!$E$5,IF(Resumen!$B$5="Optimista",Supuestos!$E$7,Supuestos!$E$6)))</x:f>
        <x:v>42400000</x:v>
      </x:c>
      <x:c r="N73" s="16" t="n">
        <x:f>E73+G73+H73+I73+J73+K73</x:f>
        <x:v>577677103.7704911</x:v>
      </x:c>
      <x:c r="O73" s="16" t="n">
        <x:f>E73-F73+G73+H73+I73+J73+K73-L73-M73</x:f>
        <x:v>24736115.2129198</x:v>
      </x:c>
      <x:c r="P73" s="16" t="n">
        <x:f>O73-IF($B73="REAL",SUMIFS(Carga_Reales!$M:$M,Carga_Reales!$A:$A,$A73,Carga_Reales!$B:$B,$C73),SUMIFS(Proyecciones!$M:$M,Proyecciones!$A:$A,$A73,Proyecciones!$B:$B,$C73))-IF($B73="REAL",SUMIFS(Carga_Reales!$N:$N,Carga_Reales!$A:$A,$A73,Carga_Reales!$B:$B,$C73),SUMIFS(Proyecciones!$N:$N,Proyecciones!$A:$A,$A73,Proyecciones!$B:$B,$C73))</x:f>
        <x:v>14778474.888397843</x:v>
      </x:c>
      <x:c r="Q73" s="16" t="n">
        <x:f>IF($B73="REAL",SUMIFS(Carga_Reales!$O:$O,Carga_Reales!$A:$A,$A73,Carga_Reales!$B:$B,$C73),SUMIFS(Proyecciones!$O:$O,Proyecciones!$A:$A,$A73,Proyecciones!$B:$B,$C73))</x:f>
        <x:v>0</x:v>
      </x:c>
      <x:c r="R73" s="16" t="n">
        <x:f>O73-Q73</x:f>
        <x:v>24736115.2129198</x:v>
      </x:c>
      <x:c r="S73" s="16" t="n">
        <x:f>E73-F73</x:f>
        <x:v>81113356.809295</x:v>
      </x:c>
      <x:c r="T73" s="16" t="n">
        <x:f>L73+M73</x:f>
        <x:v>74265823.56358829</x:v>
      </x:c>
      <x:c r="U73" t="n">
        <x:f>IFERROR((L73+M73)/MAX(1,(S73+G73)/MAX(1,D73)),0)</x:f>
        <x:v>60.134586088268584</x:v>
      </x:c>
    </x:row>
    <x:row r="74">
      <x:c r="A74" s="26" t="n">
        <x:v>46722</x:v>
      </x:c>
      <x:c r="B74" t="str">
        <x:f>IF(EOMONTH($A74,0)&lt;=Resumen!$B$4,"REAL","PROYECTADO")</x:f>
        <x:v>PROYECTADO</x:v>
      </x:c>
      <x:c r="C74" t="str">
        <x:v>Moto para Todos</x:v>
      </x:c>
      <x:c r="D74" s="15" t="n">
        <x:f>IF($B74="REAL",SUMIFS(Carga_Reales!$C:$C,Carga_Reales!$A:$A,$A74,Carga_Reales!$B:$B,$C74),SUMIFS(Proyecciones!$C:$C,Proyecciones!$A:$A,$A74,Proyecciones!$B:$B,$C74))*IF($B74="REAL",1,IF(Resumen!$B$5="Conservador",Supuestos!$B$5,IF(Resumen!$B$5="Optimista",Supuestos!$B$7,Supuestos!$B$6)))</x:f>
        <x:v>205</x:v>
      </x:c>
      <x:c r="E74" s="16" t="n">
        <x:f>IF($B74="REAL",SUMIFS(Carga_Reales!$D:$D,Carga_Reales!$A:$A,$A74,Carga_Reales!$B:$B,$C74),SUMIFS(Proyecciones!$D:$D,Proyecciones!$A:$A,$A74,Proyecciones!$B:$B,$C74))*IF($B74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74" s="16" t="n">
        <x:f>IF($B74="REAL",SUMIFS(Carga_Reales!$E:$E,Carga_Reales!$A:$A,$A74,Carga_Reales!$B:$B,$C74),SUMIFS(Proyecciones!$E:$E,Proyecciones!$A:$A,$A74,Proyecciones!$B:$B,$C74))*IF($B74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74" s="16" t="n">
        <x:f>IF($B74="REAL",SUMIFS(Carga_Reales!$F:$F,Carga_Reales!$A:$A,$A74,Carga_Reales!$B:$B,$C74),SUMIFS(Proyecciones!$F:$F,Proyecciones!$A:$A,$A74,Proyecciones!$B:$B,$C74))*IF($B74="REAL",1,IF(Resumen!$B$5="Conservador",Supuestos!$B$5,IF(Resumen!$B$5="Optimista",Supuestos!$B$7,Supuestos!$B$6)))</x:f>
        <x:v>34850000</x:v>
      </x:c>
      <x:c r="H74" s="16" t="n">
        <x:f>IF($B74="REAL",SUMIFS(Carga_Reales!$G:$G,Carga_Reales!$A:$A,$A74,Carga_Reales!$B:$B,$C74),SUMIFS(Proyecciones!$G:$G,Proyecciones!$A:$A,$A74,Proyecciones!$B:$B,$C74))*IF($B74="REAL",1,IF(Resumen!$B$5="Conservador",Supuestos!$B$5,IF(Resumen!$B$5="Optimista",Supuestos!$B$7,Supuestos!$B$6)))</x:f>
        <x:v>0</x:v>
      </x:c>
      <x:c r="I74" s="16" t="n">
        <x:f>IF($B74="REAL",SUMIFS(Carga_Reales!$H:$H,Carga_Reales!$A:$A,$A74,Carga_Reales!$B:$B,$C74),SUMIFS(Proyecciones!$H:$H,Proyecciones!$A:$A,$A74,Proyecciones!$B:$B,$C74))*IF($B74="REAL",1,IF(Resumen!$B$5="Conservador",Supuestos!$B$5,IF(Resumen!$B$5="Optimista",Supuestos!$B$7,Supuestos!$B$6)))</x:f>
        <x:v>0</x:v>
      </x:c>
      <x:c r="J74" s="16" t="n">
        <x:f>IF($B74="REAL",SUMIFS(Carga_Reales!$I:$I,Carga_Reales!$A:$A,$A74,Carga_Reales!$B:$B,$C74),SUMIFS(Proyecciones!$I:$I,Proyecciones!$A:$A,$A74,Proyecciones!$B:$B,$C74))*IF($B74="REAL",1,IF(Resumen!$B$5="Conservador",Supuestos!$B$5,IF(Resumen!$B$5="Optimista",Supuestos!$B$7,Supuestos!$B$6)))</x:f>
        <x:v>0</x:v>
      </x:c>
      <x:c r="K74" s="16" t="n">
        <x:f>IF($B74="REAL",SUMIFS(Carga_Reales!$J:$J,Carga_Reales!$A:$A,$A74,Carga_Reales!$B:$B,$C74),SUMIFS(Proyecciones!$J:$J,Proyecciones!$A:$A,$A74,Proyecciones!$B:$B,$C74))*IF($B74="REAL",1,IF(Resumen!$B$5="Conservador",Supuestos!$B$5,IF(Resumen!$B$5="Optimista",Supuestos!$B$7,Supuestos!$B$6)))</x:f>
        <x:v>75000094.8832049</x:v>
      </x:c>
      <x:c r="L74" s="16" t="n">
        <x:f>IF($B74="REAL",SUMIFS(Carga_Reales!$K:$K,Carga_Reales!$A:$A,$A74,Carga_Reales!$B:$B,$C74),SUMIFS(Proyecciones!$K:$K,Proyecciones!$A:$A,$A74,Proyecciones!$B:$B,$C74))*IF($B74="REAL",1,IF(Resumen!$B$5="Conservador",Supuestos!$E$5,IF(Resumen!$B$5="Optimista",Supuestos!$E$7,Supuestos!$E$6)))</x:f>
        <x:v>90774371.830064</x:v>
      </x:c>
      <x:c r="M74" s="16" t="n">
        <x:f>IF($B74="REAL",SUMIFS(Carga_Reales!$L:$L,Carga_Reales!$A:$A,$A74,Carga_Reales!$B:$B,$C74),SUMIFS(Proyecciones!$L:$L,Proyecciones!$A:$A,$A74,Proyecciones!$B:$B,$C74))*IF($B74="REAL",1,IF(Resumen!$B$5="Conservador",Supuestos!$E$5,IF(Resumen!$B$5="Optimista",Supuestos!$E$7,Supuestos!$E$6)))</x:f>
        <x:v>51304000</x:v>
      </x:c>
      <x:c r="N74" s="16" t="n">
        <x:f>E74+G74+H74+I74+J74+K74</x:f>
        <x:v>1278753534.883205</x:v>
      </x:c>
      <x:c r="O74" s="16" t="n">
        <x:f>E74-F74+G74+H74+I74+J74+K74-L74-M74</x:f>
        <x:v>173381838.1491409</x:v>
      </x:c>
      <x:c r="P74" s="16" t="n">
        <x:f>O74-IF($B74="REAL",SUMIFS(Carga_Reales!$M:$M,Carga_Reales!$A:$A,$A74,Carga_Reales!$B:$B,$C74),SUMIFS(Proyecciones!$M:$M,Proyecciones!$A:$A,$A74,Proyecciones!$B:$B,$C74))-IF($B74="REAL",SUMIFS(Carga_Reales!$N:$N,Carga_Reales!$A:$A,$A74,Carga_Reales!$B:$B,$C74),SUMIFS(Proyecciones!$N:$N,Proyecciones!$A:$A,$A74,Proyecciones!$B:$B,$C74))</x:f>
        <x:v>110098194.7969416</x:v>
      </x:c>
      <x:c r="Q74" s="16" t="n">
        <x:f>IF($B74="REAL",SUMIFS(Carga_Reales!$O:$O,Carga_Reales!$A:$A,$A74,Carga_Reales!$B:$B,$C74),SUMIFS(Proyecciones!$O:$O,Proyecciones!$A:$A,$A74,Proyecciones!$B:$B,$C74))</x:f>
        <x:v>0</x:v>
      </x:c>
      <x:c r="R74" s="16" t="n">
        <x:f>O74-Q74</x:f>
        <x:v>173381838.1491409</x:v>
      </x:c>
      <x:c r="S74" s="16" t="n">
        <x:f>E74-F74</x:f>
        <x:v>205610115.09599996</x:v>
      </x:c>
      <x:c r="T74" s="16" t="n">
        <x:f>L74+M74</x:f>
        <x:v>142078371.830064</x:v>
      </x:c>
      <x:c r="U74" t="n">
        <x:f>IFERROR((L74+M74)/MAX(1,(S74+G74)/MAX(1,D74)),0)</x:f>
        <x:v>121.12639226482526</x:v>
      </x:c>
    </x:row>
    <x:row r="75">
      <x:c r="A75" s="26" t="n">
        <x:v>46722</x:v>
      </x:c>
      <x:c r="B75" t="str">
        <x:f>IF(EOMONTH($A75,0)&lt;=Resumen!$B$4,"REAL","PROYECTADO")</x:f>
        <x:v>PROYECTADO</x:v>
      </x:c>
      <x:c r="C75" t="str">
        <x:v>Verificarte</x:v>
      </x:c>
      <x:c r="D75" s="15" t="n">
        <x:f>IF($B75="REAL",SUMIFS(Carga_Reales!$C:$C,Carga_Reales!$A:$A,$A75,Carga_Reales!$B:$B,$C75),SUMIFS(Proyecciones!$C:$C,Proyecciones!$A:$A,$A75,Proyecciones!$B:$B,$C75))*IF($B75="REAL",1,IF(Resumen!$B$5="Conservador",Supuestos!$B$5,IF(Resumen!$B$5="Optimista",Supuestos!$B$7,Supuestos!$B$6)))</x:f>
        <x:v>213.5</x:v>
      </x:c>
      <x:c r="E75" s="16" t="n">
        <x:f>IF($B75="REAL",SUMIFS(Carga_Reales!$D:$D,Carga_Reales!$A:$A,$A75,Carga_Reales!$B:$B,$C75),SUMIFS(Proyecciones!$D:$D,Proyecciones!$A:$A,$A75,Proyecciones!$B:$B,$C75))*IF($B75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75" s="16" t="n">
        <x:f>IF($B75="REAL",SUMIFS(Carga_Reales!$E:$E,Carga_Reales!$A:$A,$A75,Carga_Reales!$B:$B,$C75),SUMIFS(Proyecciones!$E:$E,Proyecciones!$A:$A,$A75,Proyecciones!$B:$B,$C75))*IF($B75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75" s="16" t="n">
        <x:f>IF($B75="REAL",SUMIFS(Carga_Reales!$F:$F,Carga_Reales!$A:$A,$A75,Carga_Reales!$B:$B,$C75),SUMIFS(Proyecciones!$F:$F,Proyecciones!$A:$A,$A75,Proyecciones!$B:$B,$C75))*IF($B75="REAL",1,IF(Resumen!$B$5="Conservador",Supuestos!$B$5,IF(Resumen!$B$5="Optimista",Supuestos!$B$7,Supuestos!$B$6)))</x:f>
        <x:v>26858300</x:v>
      </x:c>
      <x:c r="H75" s="16" t="n">
        <x:f>IF($B75="REAL",SUMIFS(Carga_Reales!$G:$G,Carga_Reales!$A:$A,$A75,Carga_Reales!$B:$B,$C75),SUMIFS(Proyecciones!$G:$G,Proyecciones!$A:$A,$A75,Proyecciones!$B:$B,$C75))*IF($B75="REAL",1,IF(Resumen!$B$5="Conservador",Supuestos!$B$5,IF(Resumen!$B$5="Optimista",Supuestos!$B$7,Supuestos!$B$6)))</x:f>
        <x:v>0</x:v>
      </x:c>
      <x:c r="I75" s="16" t="n">
        <x:f>IF($B75="REAL",SUMIFS(Carga_Reales!$H:$H,Carga_Reales!$A:$A,$A75,Carga_Reales!$B:$B,$C75),SUMIFS(Proyecciones!$H:$H,Proyecciones!$A:$A,$A75,Proyecciones!$B:$B,$C75))*IF($B75="REAL",1,IF(Resumen!$B$5="Conservador",Supuestos!$B$5,IF(Resumen!$B$5="Optimista",Supuestos!$B$7,Supuestos!$B$6)))</x:f>
        <x:v>0</x:v>
      </x:c>
      <x:c r="J75" s="16" t="n">
        <x:f>IF($B75="REAL",SUMIFS(Carga_Reales!$I:$I,Carga_Reales!$A:$A,$A75,Carga_Reales!$B:$B,$C75),SUMIFS(Proyecciones!$I:$I,Proyecciones!$A:$A,$A75,Proyecciones!$B:$B,$C75))*IF($B75="REAL",1,IF(Resumen!$B$5="Conservador",Supuestos!$B$5,IF(Resumen!$B$5="Optimista",Supuestos!$B$7,Supuestos!$B$6)))</x:f>
        <x:v>0</x:v>
      </x:c>
      <x:c r="K75" s="16" t="n">
        <x:f>IF($B75="REAL",SUMIFS(Carga_Reales!$J:$J,Carga_Reales!$A:$A,$A75,Carga_Reales!$B:$B,$C75),SUMIFS(Proyecciones!$J:$J,Proyecciones!$A:$A,$A75,Proyecciones!$B:$B,$C75))*IF($B75="REAL",1,IF(Resumen!$B$5="Conservador",Supuestos!$B$5,IF(Resumen!$B$5="Optimista",Supuestos!$B$7,Supuestos!$B$6)))</x:f>
        <x:v>0</x:v>
      </x:c>
      <x:c r="L75" s="16" t="n">
        <x:f>IF($B75="REAL",SUMIFS(Carga_Reales!$K:$K,Carga_Reales!$A:$A,$A75,Carga_Reales!$B:$B,$C75),SUMIFS(Proyecciones!$K:$K,Proyecciones!$A:$A,$A75,Proyecciones!$B:$B,$C75))*IF($B75="REAL",1,IF(Resumen!$B$5="Conservador",Supuestos!$E$5,IF(Resumen!$B$5="Optimista",Supuestos!$E$7,Supuestos!$E$6)))</x:f>
        <x:v>73089161.6281478</x:v>
      </x:c>
      <x:c r="M75" s="16" t="n">
        <x:f>IF($B75="REAL",SUMIFS(Carga_Reales!$L:$L,Carga_Reales!$A:$A,$A75,Carga_Reales!$B:$B,$C75),SUMIFS(Proyecciones!$L:$L,Proyecciones!$A:$A,$A75,Proyecciones!$B:$B,$C75))*IF($B75="REAL",1,IF(Resumen!$B$5="Conservador",Supuestos!$E$5,IF(Resumen!$B$5="Optimista",Supuestos!$E$7,Supuestos!$E$6)))</x:f>
        <x:v>75260000</x:v>
      </x:c>
      <x:c r="N75" s="16" t="n">
        <x:f>E75+G75+H75+I75+J75+K75</x:f>
        <x:v>2018293000.5</x:v>
      </x:c>
      <x:c r="O75" s="16" t="n">
        <x:f>E75-F75+G75+H75+I75+J75+K75-L75-M75</x:f>
        <x:v>207095863.9543522</x:v>
      </x:c>
      <x:c r="P75" s="16" t="n">
        <x:f>O75-IF($B75="REAL",SUMIFS(Carga_Reales!$M:$M,Carga_Reales!$A:$A,$A75,Carga_Reales!$B:$B,$C75),SUMIFS(Proyecciones!$M:$M,Proyecciones!$A:$A,$A75,Proyecciones!$B:$B,$C75))-IF($B75="REAL",SUMIFS(Carga_Reales!$N:$N,Carga_Reales!$A:$A,$A75,Carga_Reales!$B:$B,$C75),SUMIFS(Proyecciones!$N:$N,Proyecciones!$A:$A,$A75,Proyecciones!$B:$B,$C75))</x:f>
        <x:v>132012311.5703288</x:v>
      </x:c>
      <x:c r="Q75" s="16" t="n">
        <x:f>IF($B75="REAL",SUMIFS(Carga_Reales!$O:$O,Carga_Reales!$A:$A,$A75,Carga_Reales!$B:$B,$C75),SUMIFS(Proyecciones!$O:$O,Proyecciones!$A:$A,$A75,Proyecciones!$B:$B,$C75))</x:f>
        <x:v>0</x:v>
      </x:c>
      <x:c r="R75" s="16" t="n">
        <x:f>O75-Q75</x:f>
        <x:v>207095863.9543522</x:v>
      </x:c>
      <x:c r="S75" s="16" t="n">
        <x:f>E75-F75</x:f>
        <x:v>328586725.5825</x:v>
      </x:c>
      <x:c r="T75" s="16" t="n">
        <x:f>L75+M75</x:f>
        <x:v>148349161.62814778</x:v>
      </x:c>
      <x:c r="U75" t="n">
        <x:f>IFERROR((L75+M75)/MAX(1,(S75+G75)/MAX(1,D75)),0)</x:f>
        <x:v>89.10673586078431</x:v>
      </x:c>
    </x:row>
    <x:row r="76">
      <x:c r="A76" s="26" t="n">
        <x:v>46722</x:v>
      </x:c>
      <x:c r="B76" t="str">
        <x:f>IF(EOMONTH($A76,0)&lt;=Resumen!$B$4,"REAL","PROYECTADO")</x:f>
        <x:v>PROYECTADO</x:v>
      </x:c>
      <x:c r="C76" t="str">
        <x:v>TuClick</x:v>
      </x:c>
      <x:c r="D76" s="15" t="n">
        <x:f>IF($B76="REAL",SUMIFS(Carga_Reales!$C:$C,Carga_Reales!$A:$A,$A76,Carga_Reales!$B:$B,$C76),SUMIFS(Proyecciones!$C:$C,Proyecciones!$A:$A,$A76,Proyecciones!$B:$B,$C76))*IF($B76="REAL",1,IF(Resumen!$B$5="Conservador",Supuestos!$B$5,IF(Resumen!$B$5="Optimista",Supuestos!$B$7,Supuestos!$B$6)))</x:f>
        <x:v>81.5</x:v>
      </x:c>
      <x:c r="E76" s="16" t="n">
        <x:f>IF($B76="REAL",SUMIFS(Carga_Reales!$D:$D,Carga_Reales!$A:$A,$A76,Carga_Reales!$B:$B,$C76),SUMIFS(Proyecciones!$D:$D,Proyecciones!$A:$A,$A76,Proyecciones!$B:$B,$C76))*IF($B76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76" s="16" t="n">
        <x:f>IF($B76="REAL",SUMIFS(Carga_Reales!$E:$E,Carga_Reales!$A:$A,$A76,Carga_Reales!$B:$B,$C76),SUMIFS(Proyecciones!$E:$E,Proyecciones!$A:$A,$A76,Proyecciones!$B:$B,$C76))*IF($B76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76" s="16" t="n">
        <x:f>IF($B76="REAL",SUMIFS(Carga_Reales!$F:$F,Carga_Reales!$A:$A,$A76,Carga_Reales!$B:$B,$C76),SUMIFS(Proyecciones!$F:$F,Proyecciones!$A:$A,$A76,Proyecciones!$B:$B,$C76))*IF($B76="REAL",1,IF(Resumen!$B$5="Conservador",Supuestos!$B$5,IF(Resumen!$B$5="Optimista",Supuestos!$B$7,Supuestos!$B$6)))</x:f>
        <x:v>18186725</x:v>
      </x:c>
      <x:c r="H76" s="16" t="n">
        <x:f>IF($B76="REAL",SUMIFS(Carga_Reales!$G:$G,Carga_Reales!$A:$A,$A76,Carga_Reales!$B:$B,$C76),SUMIFS(Proyecciones!$G:$G,Proyecciones!$A:$A,$A76,Proyecciones!$B:$B,$C76))*IF($B76="REAL",1,IF(Resumen!$B$5="Conservador",Supuestos!$B$5,IF(Resumen!$B$5="Optimista",Supuestos!$B$7,Supuestos!$B$6)))</x:f>
        <x:v>0</x:v>
      </x:c>
      <x:c r="I76" s="16" t="n">
        <x:f>IF($B76="REAL",SUMIFS(Carga_Reales!$H:$H,Carga_Reales!$A:$A,$A76,Carga_Reales!$B:$B,$C76),SUMIFS(Proyecciones!$H:$H,Proyecciones!$A:$A,$A76,Proyecciones!$B:$B,$C76))*IF($B76="REAL",1,IF(Resumen!$B$5="Conservador",Supuestos!$B$5,IF(Resumen!$B$5="Optimista",Supuestos!$B$7,Supuestos!$B$6)))</x:f>
        <x:v>0</x:v>
      </x:c>
      <x:c r="J76" s="16" t="n">
        <x:f>IF($B76="REAL",SUMIFS(Carga_Reales!$I:$I,Carga_Reales!$A:$A,$A76,Carga_Reales!$B:$B,$C76),SUMIFS(Proyecciones!$I:$I,Proyecciones!$A:$A,$A76,Proyecciones!$B:$B,$C76))*IF($B76="REAL",1,IF(Resumen!$B$5="Conservador",Supuestos!$B$5,IF(Resumen!$B$5="Optimista",Supuestos!$B$7,Supuestos!$B$6)))</x:f>
        <x:v>0</x:v>
      </x:c>
      <x:c r="K76" s="16" t="n">
        <x:f>IF($B76="REAL",SUMIFS(Carga_Reales!$J:$J,Carga_Reales!$A:$A,$A76,Carga_Reales!$B:$B,$C76),SUMIFS(Proyecciones!$J:$J,Proyecciones!$A:$A,$A76,Proyecciones!$B:$B,$C76))*IF($B76="REAL",1,IF(Resumen!$B$5="Conservador",Supuestos!$B$5,IF(Resumen!$B$5="Optimista",Supuestos!$B$7,Supuestos!$B$6)))</x:f>
        <x:v>0</x:v>
      </x:c>
      <x:c r="L76" s="16" t="n">
        <x:f>IF($B76="REAL",SUMIFS(Carga_Reales!$K:$K,Carga_Reales!$A:$A,$A76,Carga_Reales!$B:$B,$C76),SUMIFS(Proyecciones!$K:$K,Proyecciones!$A:$A,$A76,Proyecciones!$B:$B,$C76))*IF($B76="REAL",1,IF(Resumen!$B$5="Conservador",Supuestos!$E$5,IF(Resumen!$B$5="Optimista",Supuestos!$E$7,Supuestos!$E$6)))</x:f>
        <x:v>31865823.5635883</x:v>
      </x:c>
      <x:c r="M76" s="16" t="n">
        <x:f>IF($B76="REAL",SUMIFS(Carga_Reales!$L:$L,Carga_Reales!$A:$A,$A76,Carga_Reales!$B:$B,$C76),SUMIFS(Proyecciones!$L:$L,Proyecciones!$A:$A,$A76,Proyecciones!$B:$B,$C76))*IF($B76="REAL",1,IF(Resumen!$B$5="Conservador",Supuestos!$E$5,IF(Resumen!$B$5="Optimista",Supuestos!$E$7,Supuestos!$E$6)))</x:f>
        <x:v>42400000</x:v>
      </x:c>
      <x:c r="N76" s="16" t="n">
        <x:f>E76+G76+H76+I76+J76+K76</x:f>
        <x:v>587305055.5</x:v>
      </x:c>
      <x:c r="O76" s="16" t="n">
        <x:f>E76-F76+G76+H76+I76+J76+K76-L76-M76</x:f>
        <x:v>26386147.52586171</x:v>
      </x:c>
      <x:c r="P76" s="16" t="n">
        <x:f>O76-IF($B76="REAL",SUMIFS(Carga_Reales!$M:$M,Carga_Reales!$A:$A,$A76,Carga_Reales!$B:$B,$C76),SUMIFS(Proyecciones!$M:$M,Proyecciones!$A:$A,$A76,Proyecciones!$B:$B,$C76))-IF($B76="REAL",SUMIFS(Carga_Reales!$N:$N,Carga_Reales!$A:$A,$A76,Carga_Reales!$B:$B,$C76),SUMIFS(Proyecciones!$N:$N,Proyecciones!$A:$A,$A76,Proyecciones!$B:$B,$C76))</x:f>
        <x:v>15850995.89181011</x:v>
      </x:c>
      <x:c r="Q76" s="16" t="n">
        <x:f>IF($B76="REAL",SUMIFS(Carga_Reales!$O:$O,Carga_Reales!$A:$A,$A76,Carga_Reales!$B:$B,$C76),SUMIFS(Proyecciones!$O:$O,Proyecciones!$A:$A,$A76,Proyecciones!$B:$B,$C76))</x:f>
        <x:v>0</x:v>
      </x:c>
      <x:c r="R76" s="16" t="n">
        <x:f>O76-Q76</x:f>
        <x:v>26386147.52586171</x:v>
      </x:c>
      <x:c r="S76" s="16" t="n">
        <x:f>E76-F76</x:f>
        <x:v>82465246.08945</x:v>
      </x:c>
      <x:c r="T76" s="16" t="n">
        <x:f>L76+M76</x:f>
        <x:v>74265823.56358829</x:v>
      </x:c>
      <x:c r="U76" t="n">
        <x:f>IFERROR((L76+M76)/MAX(1,(S76+G76)/MAX(1,D76)),0)</x:f>
        <x:v>60.13458608826853</x:v>
      </x:c>
    </x:row>
    <x:row r="77">
      <x:c r="A77" s="26" t="n">
        <x:v>46753</x:v>
      </x:c>
      <x:c r="B77" t="str">
        <x:f>IF(EOMONTH($A77,0)&lt;=Resumen!$B$4,"REAL","PROYECTADO")</x:f>
        <x:v>PROYECTADO</x:v>
      </x:c>
      <x:c r="C77" t="str">
        <x:v>Moto para Todos</x:v>
      </x:c>
      <x:c r="D77" s="15" t="n">
        <x:f>IF($B77="REAL",SUMIFS(Carga_Reales!$C:$C,Carga_Reales!$A:$A,$A77,Carga_Reales!$B:$B,$C77),SUMIFS(Proyecciones!$C:$C,Proyecciones!$A:$A,$A77,Proyecciones!$B:$B,$C77))*IF($B77="REAL",1,IF(Resumen!$B$5="Conservador",Supuestos!$B$5,IF(Resumen!$B$5="Optimista",Supuestos!$B$7,Supuestos!$B$6)))</x:f>
        <x:v>205</x:v>
      </x:c>
      <x:c r="E77" s="16" t="n">
        <x:f>IF($B77="REAL",SUMIFS(Carga_Reales!$D:$D,Carga_Reales!$A:$A,$A77,Carga_Reales!$B:$B,$C77),SUMIFS(Proyecciones!$D:$D,Proyecciones!$A:$A,$A77,Proyecciones!$B:$B,$C77))*IF($B77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77" s="16" t="n">
        <x:f>IF($B77="REAL",SUMIFS(Carga_Reales!$E:$E,Carga_Reales!$A:$A,$A77,Carga_Reales!$B:$B,$C77),SUMIFS(Proyecciones!$E:$E,Proyecciones!$A:$A,$A77,Proyecciones!$B:$B,$C77))*IF($B77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77" s="16" t="n">
        <x:f>IF($B77="REAL",SUMIFS(Carga_Reales!$F:$F,Carga_Reales!$A:$A,$A77,Carga_Reales!$B:$B,$C77),SUMIFS(Proyecciones!$F:$F,Proyecciones!$A:$A,$A77,Proyecciones!$B:$B,$C77))*IF($B77="REAL",1,IF(Resumen!$B$5="Conservador",Supuestos!$B$5,IF(Resumen!$B$5="Optimista",Supuestos!$B$7,Supuestos!$B$6)))</x:f>
        <x:v>34850000</x:v>
      </x:c>
      <x:c r="H77" s="16" t="n">
        <x:f>IF($B77="REAL",SUMIFS(Carga_Reales!$G:$G,Carga_Reales!$A:$A,$A77,Carga_Reales!$B:$B,$C77),SUMIFS(Proyecciones!$G:$G,Proyecciones!$A:$A,$A77,Proyecciones!$B:$B,$C77))*IF($B77="REAL",1,IF(Resumen!$B$5="Conservador",Supuestos!$B$5,IF(Resumen!$B$5="Optimista",Supuestos!$B$7,Supuestos!$B$6)))</x:f>
        <x:v>0</x:v>
      </x:c>
      <x:c r="I77" s="16" t="n">
        <x:f>IF($B77="REAL",SUMIFS(Carga_Reales!$H:$H,Carga_Reales!$A:$A,$A77,Carga_Reales!$B:$B,$C77),SUMIFS(Proyecciones!$H:$H,Proyecciones!$A:$A,$A77,Proyecciones!$B:$B,$C77))*IF($B77="REAL",1,IF(Resumen!$B$5="Conservador",Supuestos!$B$5,IF(Resumen!$B$5="Optimista",Supuestos!$B$7,Supuestos!$B$6)))</x:f>
        <x:v>0</x:v>
      </x:c>
      <x:c r="J77" s="16" t="n">
        <x:f>IF($B77="REAL",SUMIFS(Carga_Reales!$I:$I,Carga_Reales!$A:$A,$A77,Carga_Reales!$B:$B,$C77),SUMIFS(Proyecciones!$I:$I,Proyecciones!$A:$A,$A77,Proyecciones!$B:$B,$C77))*IF($B77="REAL",1,IF(Resumen!$B$5="Conservador",Supuestos!$B$5,IF(Resumen!$B$5="Optimista",Supuestos!$B$7,Supuestos!$B$6)))</x:f>
        <x:v>0</x:v>
      </x:c>
      <x:c r="K77" s="16" t="n">
        <x:f>IF($B77="REAL",SUMIFS(Carga_Reales!$J:$J,Carga_Reales!$A:$A,$A77,Carga_Reales!$B:$B,$C77),SUMIFS(Proyecciones!$J:$J,Proyecciones!$A:$A,$A77,Proyecciones!$B:$B,$C77))*IF($B77="REAL",1,IF(Resumen!$B$5="Conservador",Supuestos!$B$5,IF(Resumen!$B$5="Optimista",Supuestos!$B$7,Supuestos!$B$6)))</x:f>
        <x:v>78970090.929738</x:v>
      </x:c>
      <x:c r="L77" s="16" t="n">
        <x:f>IF($B77="REAL",SUMIFS(Carga_Reales!$K:$K,Carga_Reales!$A:$A,$A77,Carga_Reales!$B:$B,$C77),SUMIFS(Proyecciones!$K:$K,Proyecciones!$A:$A,$A77,Proyecciones!$B:$B,$C77))*IF($B77="REAL",1,IF(Resumen!$B$5="Conservador",Supuestos!$E$5,IF(Resumen!$B$5="Optimista",Supuestos!$E$7,Supuestos!$E$6)))</x:f>
        <x:v>90774371.830064</x:v>
      </x:c>
      <x:c r="M77" s="16" t="n">
        <x:f>IF($B77="REAL",SUMIFS(Carga_Reales!$L:$L,Carga_Reales!$A:$A,$A77,Carga_Reales!$B:$B,$C77),SUMIFS(Proyecciones!$L:$L,Proyecciones!$A:$A,$A77,Proyecciones!$B:$B,$C77))*IF($B77="REAL",1,IF(Resumen!$B$5="Conservador",Supuestos!$E$5,IF(Resumen!$B$5="Optimista",Supuestos!$E$7,Supuestos!$E$6)))</x:f>
        <x:v>54382240</x:v>
      </x:c>
      <x:c r="N77" s="16" t="n">
        <x:f>E77+G77+H77+I77+J77+K77</x:f>
        <x:v>1282723530.929738</x:v>
      </x:c>
      <x:c r="O77" s="16" t="n">
        <x:f>E77-F77+G77+H77+I77+J77+K77-L77-M77</x:f>
        <x:v>174273594.19567394</x:v>
      </x:c>
      <x:c r="P77" s="16" t="n">
        <x:f>O77-IF($B77="REAL",SUMIFS(Carga_Reales!$M:$M,Carga_Reales!$A:$A,$A77,Carga_Reales!$B:$B,$C77),SUMIFS(Proyecciones!$M:$M,Proyecciones!$A:$A,$A77,Proyecciones!$B:$B,$C77))-IF($B77="REAL",SUMIFS(Carga_Reales!$N:$N,Carga_Reales!$A:$A,$A77,Carga_Reales!$B:$B,$C77),SUMIFS(Proyecciones!$N:$N,Proyecciones!$A:$A,$A77,Proyecciones!$B:$B,$C77))</x:f>
        <x:v>110677836.22718805</x:v>
      </x:c>
      <x:c r="Q77" s="16" t="n">
        <x:f>IF($B77="REAL",SUMIFS(Carga_Reales!$O:$O,Carga_Reales!$A:$A,$A77,Carga_Reales!$B:$B,$C77),SUMIFS(Proyecciones!$O:$O,Proyecciones!$A:$A,$A77,Proyecciones!$B:$B,$C77))</x:f>
        <x:v>0</x:v>
      </x:c>
      <x:c r="R77" s="16" t="n">
        <x:f>O77-Q77</x:f>
        <x:v>174273594.19567394</x:v>
      </x:c>
      <x:c r="S77" s="16" t="n">
        <x:f>E77-F77</x:f>
        <x:v>205610115.09599996</x:v>
      </x:c>
      <x:c r="T77" s="16" t="n">
        <x:f>L77+M77</x:f>
        <x:v>145156611.830064</x:v>
      </x:c>
      <x:c r="U77" t="n">
        <x:f>IFERROR((L77+M77)/MAX(1,(S77+G77)/MAX(1,D77)),0)</x:f>
        <x:v>123.75069110019788</x:v>
      </x:c>
    </x:row>
    <x:row r="78">
      <x:c r="A78" s="26" t="n">
        <x:v>46753</x:v>
      </x:c>
      <x:c r="B78" t="str">
        <x:f>IF(EOMONTH($A78,0)&lt;=Resumen!$B$4,"REAL","PROYECTADO")</x:f>
        <x:v>PROYECTADO</x:v>
      </x:c>
      <x:c r="C78" t="str">
        <x:v>Verificarte</x:v>
      </x:c>
      <x:c r="D78" s="15" t="n">
        <x:f>IF($B78="REAL",SUMIFS(Carga_Reales!$C:$C,Carga_Reales!$A:$A,$A78,Carga_Reales!$B:$B,$C78),SUMIFS(Proyecciones!$C:$C,Proyecciones!$A:$A,$A78,Proyecciones!$B:$B,$C78))*IF($B78="REAL",1,IF(Resumen!$B$5="Conservador",Supuestos!$B$5,IF(Resumen!$B$5="Optimista",Supuestos!$B$7,Supuestos!$B$6)))</x:f>
        <x:v>213.5</x:v>
      </x:c>
      <x:c r="E78" s="16" t="n">
        <x:f>IF($B78="REAL",SUMIFS(Carga_Reales!$D:$D,Carga_Reales!$A:$A,$A78,Carga_Reales!$B:$B,$C78),SUMIFS(Proyecciones!$D:$D,Proyecciones!$A:$A,$A78,Proyecciones!$B:$B,$C78))*IF($B78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78" s="16" t="n">
        <x:f>IF($B78="REAL",SUMIFS(Carga_Reales!$E:$E,Carga_Reales!$A:$A,$A78,Carga_Reales!$B:$B,$C78),SUMIFS(Proyecciones!$E:$E,Proyecciones!$A:$A,$A78,Proyecciones!$B:$B,$C78))*IF($B78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78" s="16" t="n">
        <x:f>IF($B78="REAL",SUMIFS(Carga_Reales!$F:$F,Carga_Reales!$A:$A,$A78,Carga_Reales!$B:$B,$C78),SUMIFS(Proyecciones!$F:$F,Proyecciones!$A:$A,$A78,Proyecciones!$B:$B,$C78))*IF($B78="REAL",1,IF(Resumen!$B$5="Conservador",Supuestos!$B$5,IF(Resumen!$B$5="Optimista",Supuestos!$B$7,Supuestos!$B$6)))</x:f>
        <x:v>26858300</x:v>
      </x:c>
      <x:c r="H78" s="16" t="n">
        <x:f>IF($B78="REAL",SUMIFS(Carga_Reales!$G:$G,Carga_Reales!$A:$A,$A78,Carga_Reales!$B:$B,$C78),SUMIFS(Proyecciones!$G:$G,Proyecciones!$A:$A,$A78,Proyecciones!$B:$B,$C78))*IF($B78="REAL",1,IF(Resumen!$B$5="Conservador",Supuestos!$B$5,IF(Resumen!$B$5="Optimista",Supuestos!$B$7,Supuestos!$B$6)))</x:f>
        <x:v>0</x:v>
      </x:c>
      <x:c r="I78" s="16" t="n">
        <x:f>IF($B78="REAL",SUMIFS(Carga_Reales!$H:$H,Carga_Reales!$A:$A,$A78,Carga_Reales!$B:$B,$C78),SUMIFS(Proyecciones!$H:$H,Proyecciones!$A:$A,$A78,Proyecciones!$B:$B,$C78))*IF($B78="REAL",1,IF(Resumen!$B$5="Conservador",Supuestos!$B$5,IF(Resumen!$B$5="Optimista",Supuestos!$B$7,Supuestos!$B$6)))</x:f>
        <x:v>0</x:v>
      </x:c>
      <x:c r="J78" s="16" t="n">
        <x:f>IF($B78="REAL",SUMIFS(Carga_Reales!$I:$I,Carga_Reales!$A:$A,$A78,Carga_Reales!$B:$B,$C78),SUMIFS(Proyecciones!$I:$I,Proyecciones!$A:$A,$A78,Proyecciones!$B:$B,$C78))*IF($B78="REAL",1,IF(Resumen!$B$5="Conservador",Supuestos!$B$5,IF(Resumen!$B$5="Optimista",Supuestos!$B$7,Supuestos!$B$6)))</x:f>
        <x:v>0</x:v>
      </x:c>
      <x:c r="K78" s="16" t="n">
        <x:f>IF($B78="REAL",SUMIFS(Carga_Reales!$J:$J,Carga_Reales!$A:$A,$A78,Carga_Reales!$B:$B,$C78),SUMIFS(Proyecciones!$J:$J,Proyecciones!$A:$A,$A78,Proyecciones!$B:$B,$C78))*IF($B78="REAL",1,IF(Resumen!$B$5="Conservador",Supuestos!$B$5,IF(Resumen!$B$5="Optimista",Supuestos!$B$7,Supuestos!$B$6)))</x:f>
        <x:v>0</x:v>
      </x:c>
      <x:c r="L78" s="16" t="n">
        <x:f>IF($B78="REAL",SUMIFS(Carga_Reales!$K:$K,Carga_Reales!$A:$A,$A78,Carga_Reales!$B:$B,$C78),SUMIFS(Proyecciones!$K:$K,Proyecciones!$A:$A,$A78,Proyecciones!$B:$B,$C78))*IF($B78="REAL",1,IF(Resumen!$B$5="Conservador",Supuestos!$E$5,IF(Resumen!$B$5="Optimista",Supuestos!$E$7,Supuestos!$E$6)))</x:f>
        <x:v>73089161.6281478</x:v>
      </x:c>
      <x:c r="M78" s="16" t="n">
        <x:f>IF($B78="REAL",SUMIFS(Carga_Reales!$L:$L,Carga_Reales!$A:$A,$A78,Carga_Reales!$B:$B,$C78),SUMIFS(Proyecciones!$L:$L,Proyecciones!$A:$A,$A78,Proyecciones!$B:$B,$C78))*IF($B78="REAL",1,IF(Resumen!$B$5="Conservador",Supuestos!$E$5,IF(Resumen!$B$5="Optimista",Supuestos!$E$7,Supuestos!$E$6)))</x:f>
        <x:v>79775600</x:v>
      </x:c>
      <x:c r="N78" s="16" t="n">
        <x:f>E78+G78+H78+I78+J78+K78</x:f>
        <x:v>2018293000.5</x:v>
      </x:c>
      <x:c r="O78" s="16" t="n">
        <x:f>E78-F78+G78+H78+I78+J78+K78-L78-M78</x:f>
        <x:v>202580263.9543522</x:v>
      </x:c>
      <x:c r="P78" s="16" t="n">
        <x:f>O78-IF($B78="REAL",SUMIFS(Carga_Reales!$M:$M,Carga_Reales!$A:$A,$A78,Carga_Reales!$B:$B,$C78),SUMIFS(Proyecciones!$M:$M,Proyecciones!$A:$A,$A78,Proyecciones!$B:$B,$C78))-IF($B78="REAL",SUMIFS(Carga_Reales!$N:$N,Carga_Reales!$A:$A,$A78,Carga_Reales!$B:$B,$C78),SUMIFS(Proyecciones!$N:$N,Proyecciones!$A:$A,$A78,Proyecciones!$B:$B,$C78))</x:f>
        <x:v>129077171.5703288</x:v>
      </x:c>
      <x:c r="Q78" s="16" t="n">
        <x:f>IF($B78="REAL",SUMIFS(Carga_Reales!$O:$O,Carga_Reales!$A:$A,$A78,Carga_Reales!$B:$B,$C78),SUMIFS(Proyecciones!$O:$O,Proyecciones!$A:$A,$A78,Proyecciones!$B:$B,$C78))</x:f>
        <x:v>0</x:v>
      </x:c>
      <x:c r="R78" s="16" t="n">
        <x:f>O78-Q78</x:f>
        <x:v>202580263.9543522</x:v>
      </x:c>
      <x:c r="S78" s="16" t="n">
        <x:f>E78-F78</x:f>
        <x:v>328586725.5825</x:v>
      </x:c>
      <x:c r="T78" s="16" t="n">
        <x:f>L78+M78</x:f>
        <x:v>152864761.62814778</x:v>
      </x:c>
      <x:c r="U78" t="n">
        <x:f>IFERROR((L78+M78)/MAX(1,(S78+G78)/MAX(1,D78)),0)</x:f>
        <x:v>91.81905571508548</x:v>
      </x:c>
    </x:row>
    <x:row r="79">
      <x:c r="A79" s="26" t="n">
        <x:v>46753</x:v>
      </x:c>
      <x:c r="B79" t="str">
        <x:f>IF(EOMONTH($A79,0)&lt;=Resumen!$B$4,"REAL","PROYECTADO")</x:f>
        <x:v>PROYECTADO</x:v>
      </x:c>
      <x:c r="C79" t="str">
        <x:v>TuClick</x:v>
      </x:c>
      <x:c r="D79" s="15" t="n">
        <x:f>IF($B79="REAL",SUMIFS(Carga_Reales!$C:$C,Carga_Reales!$A:$A,$A79,Carga_Reales!$B:$B,$C79),SUMIFS(Proyecciones!$C:$C,Proyecciones!$A:$A,$A79,Proyecciones!$B:$B,$C79))*IF($B79="REAL",1,IF(Resumen!$B$5="Conservador",Supuestos!$B$5,IF(Resumen!$B$5="Optimista",Supuestos!$B$7,Supuestos!$B$6)))</x:f>
        <x:v>81.5</x:v>
      </x:c>
      <x:c r="E79" s="16" t="n">
        <x:f>IF($B79="REAL",SUMIFS(Carga_Reales!$D:$D,Carga_Reales!$A:$A,$A79,Carga_Reales!$B:$B,$C79),SUMIFS(Proyecciones!$D:$D,Proyecciones!$A:$A,$A79,Proyecciones!$B:$B,$C79))*IF($B79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79" s="16" t="n">
        <x:f>IF($B79="REAL",SUMIFS(Carga_Reales!$E:$E,Carga_Reales!$A:$A,$A79,Carga_Reales!$B:$B,$C79),SUMIFS(Proyecciones!$E:$E,Proyecciones!$A:$A,$A79,Proyecciones!$B:$B,$C79))*IF($B79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79" s="16" t="n">
        <x:f>IF($B79="REAL",SUMIFS(Carga_Reales!$F:$F,Carga_Reales!$A:$A,$A79,Carga_Reales!$B:$B,$C79),SUMIFS(Proyecciones!$F:$F,Proyecciones!$A:$A,$A79,Proyecciones!$B:$B,$C79))*IF($B79="REAL",1,IF(Resumen!$B$5="Conservador",Supuestos!$B$5,IF(Resumen!$B$5="Optimista",Supuestos!$B$7,Supuestos!$B$6)))</x:f>
        <x:v>18186725</x:v>
      </x:c>
      <x:c r="H79" s="16" t="n">
        <x:f>IF($B79="REAL",SUMIFS(Carga_Reales!$G:$G,Carga_Reales!$A:$A,$A79,Carga_Reales!$B:$B,$C79),SUMIFS(Proyecciones!$G:$G,Proyecciones!$A:$A,$A79,Proyecciones!$B:$B,$C79))*IF($B79="REAL",1,IF(Resumen!$B$5="Conservador",Supuestos!$B$5,IF(Resumen!$B$5="Optimista",Supuestos!$B$7,Supuestos!$B$6)))</x:f>
        <x:v>0</x:v>
      </x:c>
      <x:c r="I79" s="16" t="n">
        <x:f>IF($B79="REAL",SUMIFS(Carga_Reales!$H:$H,Carga_Reales!$A:$A,$A79,Carga_Reales!$B:$B,$C79),SUMIFS(Proyecciones!$H:$H,Proyecciones!$A:$A,$A79,Proyecciones!$B:$B,$C79))*IF($B79="REAL",1,IF(Resumen!$B$5="Conservador",Supuestos!$B$5,IF(Resumen!$B$5="Optimista",Supuestos!$B$7,Supuestos!$B$6)))</x:f>
        <x:v>0</x:v>
      </x:c>
      <x:c r="J79" s="16" t="n">
        <x:f>IF($B79="REAL",SUMIFS(Carga_Reales!$I:$I,Carga_Reales!$A:$A,$A79,Carga_Reales!$B:$B,$C79),SUMIFS(Proyecciones!$I:$I,Proyecciones!$A:$A,$A79,Proyecciones!$B:$B,$C79))*IF($B79="REAL",1,IF(Resumen!$B$5="Conservador",Supuestos!$B$5,IF(Resumen!$B$5="Optimista",Supuestos!$B$7,Supuestos!$B$6)))</x:f>
        <x:v>0</x:v>
      </x:c>
      <x:c r="K79" s="16" t="n">
        <x:f>IF($B79="REAL",SUMIFS(Carga_Reales!$J:$J,Carga_Reales!$A:$A,$A79,Carga_Reales!$B:$B,$C79),SUMIFS(Proyecciones!$J:$J,Proyecciones!$A:$A,$A79,Proyecciones!$B:$B,$C79))*IF($B79="REAL",1,IF(Resumen!$B$5="Conservador",Supuestos!$B$5,IF(Resumen!$B$5="Optimista",Supuestos!$B$7,Supuestos!$B$6)))</x:f>
        <x:v>0</x:v>
      </x:c>
      <x:c r="L79" s="16" t="n">
        <x:f>IF($B79="REAL",SUMIFS(Carga_Reales!$K:$K,Carga_Reales!$A:$A,$A79,Carga_Reales!$B:$B,$C79),SUMIFS(Proyecciones!$K:$K,Proyecciones!$A:$A,$A79,Proyecciones!$B:$B,$C79))*IF($B79="REAL",1,IF(Resumen!$B$5="Conservador",Supuestos!$E$5,IF(Resumen!$B$5="Optimista",Supuestos!$E$7,Supuestos!$E$6)))</x:f>
        <x:v>31865823.5635883</x:v>
      </x:c>
      <x:c r="M79" s="16" t="n">
        <x:f>IF($B79="REAL",SUMIFS(Carga_Reales!$L:$L,Carga_Reales!$A:$A,$A79,Carga_Reales!$B:$B,$C79),SUMIFS(Proyecciones!$L:$L,Proyecciones!$A:$A,$A79,Proyecciones!$B:$B,$C79))*IF($B79="REAL",1,IF(Resumen!$B$5="Conservador",Supuestos!$E$5,IF(Resumen!$B$5="Optimista",Supuestos!$E$7,Supuestos!$E$6)))</x:f>
        <x:v>44944000</x:v>
      </x:c>
      <x:c r="N79" s="16" t="n">
        <x:f>E79+G79+H79+I79+J79+K79</x:f>
        <x:v>587305055.5</x:v>
      </x:c>
      <x:c r="O79" s="16" t="n">
        <x:f>E79-F79+G79+H79+I79+J79+K79-L79-M79</x:f>
        <x:v>23842147.52586171</x:v>
      </x:c>
      <x:c r="P79" s="16" t="n">
        <x:f>O79-IF($B79="REAL",SUMIFS(Carga_Reales!$M:$M,Carga_Reales!$A:$A,$A79,Carga_Reales!$B:$B,$C79),SUMIFS(Proyecciones!$M:$M,Proyecciones!$A:$A,$A79,Proyecciones!$B:$B,$C79))-IF($B79="REAL",SUMIFS(Carga_Reales!$N:$N,Carga_Reales!$A:$A,$A79,Carga_Reales!$B:$B,$C79),SUMIFS(Proyecciones!$N:$N,Proyecciones!$A:$A,$A79,Proyecciones!$B:$B,$C79))</x:f>
        <x:v>14197395.891810112</x:v>
      </x:c>
      <x:c r="Q79" s="16" t="n">
        <x:f>IF($B79="REAL",SUMIFS(Carga_Reales!$O:$O,Carga_Reales!$A:$A,$A79,Carga_Reales!$B:$B,$C79),SUMIFS(Proyecciones!$O:$O,Proyecciones!$A:$A,$A79,Proyecciones!$B:$B,$C79))</x:f>
        <x:v>0</x:v>
      </x:c>
      <x:c r="R79" s="16" t="n">
        <x:f>O79-Q79</x:f>
        <x:v>23842147.52586171</x:v>
      </x:c>
      <x:c r="S79" s="16" t="n">
        <x:f>E79-F79</x:f>
        <x:v>82465246.08945</x:v>
      </x:c>
      <x:c r="T79" s="16" t="n">
        <x:f>L79+M79</x:f>
        <x:v>76809823.56358829</x:v>
      </x:c>
      <x:c r="U79" t="n">
        <x:f>IFERROR((L79+M79)/MAX(1,(S79+G79)/MAX(1,D79)),0)</x:f>
        <x:v>62.194515941164696</x:v>
      </x:c>
    </x:row>
    <x:row r="80">
      <x:c r="A80" s="26" t="n">
        <x:v>46784</x:v>
      </x:c>
      <x:c r="B80" t="str">
        <x:f>IF(EOMONTH($A80,0)&lt;=Resumen!$B$4,"REAL","PROYECTADO")</x:f>
        <x:v>PROYECTADO</x:v>
      </x:c>
      <x:c r="C80" t="str">
        <x:v>Moto para Todos</x:v>
      </x:c>
      <x:c r="D80" s="15" t="n">
        <x:f>IF($B80="REAL",SUMIFS(Carga_Reales!$C:$C,Carga_Reales!$A:$A,$A80,Carga_Reales!$B:$B,$C80),SUMIFS(Proyecciones!$C:$C,Proyecciones!$A:$A,$A80,Proyecciones!$B:$B,$C80))*IF($B80="REAL",1,IF(Resumen!$B$5="Conservador",Supuestos!$B$5,IF(Resumen!$B$5="Optimista",Supuestos!$B$7,Supuestos!$B$6)))</x:f>
        <x:v>205</x:v>
      </x:c>
      <x:c r="E80" s="16" t="n">
        <x:f>IF($B80="REAL",SUMIFS(Carga_Reales!$D:$D,Carga_Reales!$A:$A,$A80,Carga_Reales!$B:$B,$C80),SUMIFS(Proyecciones!$D:$D,Proyecciones!$A:$A,$A80,Proyecciones!$B:$B,$C80))*IF($B80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80" s="16" t="n">
        <x:f>IF($B80="REAL",SUMIFS(Carga_Reales!$E:$E,Carga_Reales!$A:$A,$A80,Carga_Reales!$B:$B,$C80),SUMIFS(Proyecciones!$E:$E,Proyecciones!$A:$A,$A80,Proyecciones!$B:$B,$C80))*IF($B80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80" s="16" t="n">
        <x:f>IF($B80="REAL",SUMIFS(Carga_Reales!$F:$F,Carga_Reales!$A:$A,$A80,Carga_Reales!$B:$B,$C80),SUMIFS(Proyecciones!$F:$F,Proyecciones!$A:$A,$A80,Proyecciones!$B:$B,$C80))*IF($B80="REAL",1,IF(Resumen!$B$5="Conservador",Supuestos!$B$5,IF(Resumen!$B$5="Optimista",Supuestos!$B$7,Supuestos!$B$6)))</x:f>
        <x:v>34850000</x:v>
      </x:c>
      <x:c r="H80" s="16" t="n">
        <x:f>IF($B80="REAL",SUMIFS(Carga_Reales!$G:$G,Carga_Reales!$A:$A,$A80,Carga_Reales!$B:$B,$C80),SUMIFS(Proyecciones!$G:$G,Proyecciones!$A:$A,$A80,Proyecciones!$B:$B,$C80))*IF($B80="REAL",1,IF(Resumen!$B$5="Conservador",Supuestos!$B$5,IF(Resumen!$B$5="Optimista",Supuestos!$B$7,Supuestos!$B$6)))</x:f>
        <x:v>0</x:v>
      </x:c>
      <x:c r="I80" s="16" t="n">
        <x:f>IF($B80="REAL",SUMIFS(Carga_Reales!$H:$H,Carga_Reales!$A:$A,$A80,Carga_Reales!$B:$B,$C80),SUMIFS(Proyecciones!$H:$H,Proyecciones!$A:$A,$A80,Proyecciones!$B:$B,$C80))*IF($B80="REAL",1,IF(Resumen!$B$5="Conservador",Supuestos!$B$5,IF(Resumen!$B$5="Optimista",Supuestos!$B$7,Supuestos!$B$6)))</x:f>
        <x:v>0</x:v>
      </x:c>
      <x:c r="J80" s="16" t="n">
        <x:f>IF($B80="REAL",SUMIFS(Carga_Reales!$I:$I,Carga_Reales!$A:$A,$A80,Carga_Reales!$B:$B,$C80),SUMIFS(Proyecciones!$I:$I,Proyecciones!$A:$A,$A80,Proyecciones!$B:$B,$C80))*IF($B80="REAL",1,IF(Resumen!$B$5="Conservador",Supuestos!$B$5,IF(Resumen!$B$5="Optimista",Supuestos!$B$7,Supuestos!$B$6)))</x:f>
        <x:v>0</x:v>
      </x:c>
      <x:c r="K80" s="16" t="n">
        <x:f>IF($B80="REAL",SUMIFS(Carga_Reales!$J:$J,Carga_Reales!$A:$A,$A80,Carga_Reales!$B:$B,$C80),SUMIFS(Proyecciones!$J:$J,Proyecciones!$A:$A,$A80,Proyecciones!$B:$B,$C80))*IF($B80="REAL",1,IF(Resumen!$B$5="Conservador",Supuestos!$B$5,IF(Resumen!$B$5="Optimista",Supuestos!$B$7,Supuestos!$B$6)))</x:f>
        <x:v>82774670.4743323</x:v>
      </x:c>
      <x:c r="L80" s="16" t="n">
        <x:f>IF($B80="REAL",SUMIFS(Carga_Reales!$K:$K,Carga_Reales!$A:$A,$A80,Carga_Reales!$B:$B,$C80),SUMIFS(Proyecciones!$K:$K,Proyecciones!$A:$A,$A80,Proyecciones!$B:$B,$C80))*IF($B80="REAL",1,IF(Resumen!$B$5="Conservador",Supuestos!$E$5,IF(Resumen!$B$5="Optimista",Supuestos!$E$7,Supuestos!$E$6)))</x:f>
        <x:v>90774371.830064</x:v>
      </x:c>
      <x:c r="M80" s="16" t="n">
        <x:f>IF($B80="REAL",SUMIFS(Carga_Reales!$L:$L,Carga_Reales!$A:$A,$A80,Carga_Reales!$B:$B,$C80),SUMIFS(Proyecciones!$L:$L,Proyecciones!$A:$A,$A80,Proyecciones!$B:$B,$C80))*IF($B80="REAL",1,IF(Resumen!$B$5="Conservador",Supuestos!$E$5,IF(Resumen!$B$5="Optimista",Supuestos!$E$7,Supuestos!$E$6)))</x:f>
        <x:v>54382240</x:v>
      </x:c>
      <x:c r="N80" s="16" t="n">
        <x:f>E80+G80+H80+I80+J80+K80</x:f>
        <x:v>1286528110.4743323</x:v>
      </x:c>
      <x:c r="O80" s="16" t="n">
        <x:f>E80-F80+G80+H80+I80+J80+K80-L80-M80</x:f>
        <x:v>178078173.7402683</x:v>
      </x:c>
      <x:c r="P80" s="16" t="n">
        <x:f>O80-IF($B80="REAL",SUMIFS(Carga_Reales!$M:$M,Carga_Reales!$A:$A,$A80,Carga_Reales!$B:$B,$C80),SUMIFS(Proyecciones!$M:$M,Proyecciones!$A:$A,$A80,Proyecciones!$B:$B,$C80))-IF($B80="REAL",SUMIFS(Carga_Reales!$N:$N,Carga_Reales!$A:$A,$A80,Carga_Reales!$B:$B,$C80),SUMIFS(Proyecciones!$N:$N,Proyecciones!$A:$A,$A80,Proyecciones!$B:$B,$C80))</x:f>
        <x:v>113150812.9311744</x:v>
      </x:c>
      <x:c r="Q80" s="16" t="n">
        <x:f>IF($B80="REAL",SUMIFS(Carga_Reales!$O:$O,Carga_Reales!$A:$A,$A80,Carga_Reales!$B:$B,$C80),SUMIFS(Proyecciones!$O:$O,Proyecciones!$A:$A,$A80,Proyecciones!$B:$B,$C80))</x:f>
        <x:v>0</x:v>
      </x:c>
      <x:c r="R80" s="16" t="n">
        <x:f>O80-Q80</x:f>
        <x:v>178078173.7402683</x:v>
      </x:c>
      <x:c r="S80" s="16" t="n">
        <x:f>E80-F80</x:f>
        <x:v>205610115.09599996</x:v>
      </x:c>
      <x:c r="T80" s="16" t="n">
        <x:f>L80+M80</x:f>
        <x:v>145156611.830064</x:v>
      </x:c>
      <x:c r="U80" t="n">
        <x:f>IFERROR((L80+M80)/MAX(1,(S80+G80)/MAX(1,D80)),0)</x:f>
        <x:v>123.75069110019788</x:v>
      </x:c>
    </x:row>
    <x:row r="81">
      <x:c r="A81" s="26" t="n">
        <x:v>46784</x:v>
      </x:c>
      <x:c r="B81" t="str">
        <x:f>IF(EOMONTH($A81,0)&lt;=Resumen!$B$4,"REAL","PROYECTADO")</x:f>
        <x:v>PROYECTADO</x:v>
      </x:c>
      <x:c r="C81" t="str">
        <x:v>Verificarte</x:v>
      </x:c>
      <x:c r="D81" s="15" t="n">
        <x:f>IF($B81="REAL",SUMIFS(Carga_Reales!$C:$C,Carga_Reales!$A:$A,$A81,Carga_Reales!$B:$B,$C81),SUMIFS(Proyecciones!$C:$C,Proyecciones!$A:$A,$A81,Proyecciones!$B:$B,$C81))*IF($B81="REAL",1,IF(Resumen!$B$5="Conservador",Supuestos!$B$5,IF(Resumen!$B$5="Optimista",Supuestos!$B$7,Supuestos!$B$6)))</x:f>
        <x:v>213.5</x:v>
      </x:c>
      <x:c r="E81" s="16" t="n">
        <x:f>IF($B81="REAL",SUMIFS(Carga_Reales!$D:$D,Carga_Reales!$A:$A,$A81,Carga_Reales!$B:$B,$C81),SUMIFS(Proyecciones!$D:$D,Proyecciones!$A:$A,$A81,Proyecciones!$B:$B,$C81))*IF($B81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81" s="16" t="n">
        <x:f>IF($B81="REAL",SUMIFS(Carga_Reales!$E:$E,Carga_Reales!$A:$A,$A81,Carga_Reales!$B:$B,$C81),SUMIFS(Proyecciones!$E:$E,Proyecciones!$A:$A,$A81,Proyecciones!$B:$B,$C81))*IF($B81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81" s="16" t="n">
        <x:f>IF($B81="REAL",SUMIFS(Carga_Reales!$F:$F,Carga_Reales!$A:$A,$A81,Carga_Reales!$B:$B,$C81),SUMIFS(Proyecciones!$F:$F,Proyecciones!$A:$A,$A81,Proyecciones!$B:$B,$C81))*IF($B81="REAL",1,IF(Resumen!$B$5="Conservador",Supuestos!$B$5,IF(Resumen!$B$5="Optimista",Supuestos!$B$7,Supuestos!$B$6)))</x:f>
        <x:v>26858300</x:v>
      </x:c>
      <x:c r="H81" s="16" t="n">
        <x:f>IF($B81="REAL",SUMIFS(Carga_Reales!$G:$G,Carga_Reales!$A:$A,$A81,Carga_Reales!$B:$B,$C81),SUMIFS(Proyecciones!$G:$G,Proyecciones!$A:$A,$A81,Proyecciones!$B:$B,$C81))*IF($B81="REAL",1,IF(Resumen!$B$5="Conservador",Supuestos!$B$5,IF(Resumen!$B$5="Optimista",Supuestos!$B$7,Supuestos!$B$6)))</x:f>
        <x:v>0</x:v>
      </x:c>
      <x:c r="I81" s="16" t="n">
        <x:f>IF($B81="REAL",SUMIFS(Carga_Reales!$H:$H,Carga_Reales!$A:$A,$A81,Carga_Reales!$B:$B,$C81),SUMIFS(Proyecciones!$H:$H,Proyecciones!$A:$A,$A81,Proyecciones!$B:$B,$C81))*IF($B81="REAL",1,IF(Resumen!$B$5="Conservador",Supuestos!$B$5,IF(Resumen!$B$5="Optimista",Supuestos!$B$7,Supuestos!$B$6)))</x:f>
        <x:v>0</x:v>
      </x:c>
      <x:c r="J81" s="16" t="n">
        <x:f>IF($B81="REAL",SUMIFS(Carga_Reales!$I:$I,Carga_Reales!$A:$A,$A81,Carga_Reales!$B:$B,$C81),SUMIFS(Proyecciones!$I:$I,Proyecciones!$A:$A,$A81,Proyecciones!$B:$B,$C81))*IF($B81="REAL",1,IF(Resumen!$B$5="Conservador",Supuestos!$B$5,IF(Resumen!$B$5="Optimista",Supuestos!$B$7,Supuestos!$B$6)))</x:f>
        <x:v>0</x:v>
      </x:c>
      <x:c r="K81" s="16" t="n">
        <x:f>IF($B81="REAL",SUMIFS(Carga_Reales!$J:$J,Carga_Reales!$A:$A,$A81,Carga_Reales!$B:$B,$C81),SUMIFS(Proyecciones!$J:$J,Proyecciones!$A:$A,$A81,Proyecciones!$B:$B,$C81))*IF($B81="REAL",1,IF(Resumen!$B$5="Conservador",Supuestos!$B$5,IF(Resumen!$B$5="Optimista",Supuestos!$B$7,Supuestos!$B$6)))</x:f>
        <x:v>0</x:v>
      </x:c>
      <x:c r="L81" s="16" t="n">
        <x:f>IF($B81="REAL",SUMIFS(Carga_Reales!$K:$K,Carga_Reales!$A:$A,$A81,Carga_Reales!$B:$B,$C81),SUMIFS(Proyecciones!$K:$K,Proyecciones!$A:$A,$A81,Proyecciones!$B:$B,$C81))*IF($B81="REAL",1,IF(Resumen!$B$5="Conservador",Supuestos!$E$5,IF(Resumen!$B$5="Optimista",Supuestos!$E$7,Supuestos!$E$6)))</x:f>
        <x:v>73089161.6281478</x:v>
      </x:c>
      <x:c r="M81" s="16" t="n">
        <x:f>IF($B81="REAL",SUMIFS(Carga_Reales!$L:$L,Carga_Reales!$A:$A,$A81,Carga_Reales!$B:$B,$C81),SUMIFS(Proyecciones!$L:$L,Proyecciones!$A:$A,$A81,Proyecciones!$B:$B,$C81))*IF($B81="REAL",1,IF(Resumen!$B$5="Conservador",Supuestos!$E$5,IF(Resumen!$B$5="Optimista",Supuestos!$E$7,Supuestos!$E$6)))</x:f>
        <x:v>79775600</x:v>
      </x:c>
      <x:c r="N81" s="16" t="n">
        <x:f>E81+G81+H81+I81+J81+K81</x:f>
        <x:v>2018293000.5</x:v>
      </x:c>
      <x:c r="O81" s="16" t="n">
        <x:f>E81-F81+G81+H81+I81+J81+K81-L81-M81</x:f>
        <x:v>202580263.9543522</x:v>
      </x:c>
      <x:c r="P81" s="16" t="n">
        <x:f>O81-IF($B81="REAL",SUMIFS(Carga_Reales!$M:$M,Carga_Reales!$A:$A,$A81,Carga_Reales!$B:$B,$C81),SUMIFS(Proyecciones!$M:$M,Proyecciones!$A:$A,$A81,Proyecciones!$B:$B,$C81))-IF($B81="REAL",SUMIFS(Carga_Reales!$N:$N,Carga_Reales!$A:$A,$A81,Carga_Reales!$B:$B,$C81),SUMIFS(Proyecciones!$N:$N,Proyecciones!$A:$A,$A81,Proyecciones!$B:$B,$C81))</x:f>
        <x:v>129077171.5703288</x:v>
      </x:c>
      <x:c r="Q81" s="16" t="n">
        <x:f>IF($B81="REAL",SUMIFS(Carga_Reales!$O:$O,Carga_Reales!$A:$A,$A81,Carga_Reales!$B:$B,$C81),SUMIFS(Proyecciones!$O:$O,Proyecciones!$A:$A,$A81,Proyecciones!$B:$B,$C81))</x:f>
        <x:v>0</x:v>
      </x:c>
      <x:c r="R81" s="16" t="n">
        <x:f>O81-Q81</x:f>
        <x:v>202580263.9543522</x:v>
      </x:c>
      <x:c r="S81" s="16" t="n">
        <x:f>E81-F81</x:f>
        <x:v>328586725.5825</x:v>
      </x:c>
      <x:c r="T81" s="16" t="n">
        <x:f>L81+M81</x:f>
        <x:v>152864761.62814778</x:v>
      </x:c>
      <x:c r="U81" t="n">
        <x:f>IFERROR((L81+M81)/MAX(1,(S81+G81)/MAX(1,D81)),0)</x:f>
        <x:v>91.81905571508548</x:v>
      </x:c>
    </x:row>
    <x:row r="82">
      <x:c r="A82" s="26" t="n">
        <x:v>46784</x:v>
      </x:c>
      <x:c r="B82" t="str">
        <x:f>IF(EOMONTH($A82,0)&lt;=Resumen!$B$4,"REAL","PROYECTADO")</x:f>
        <x:v>PROYECTADO</x:v>
      </x:c>
      <x:c r="C82" t="str">
        <x:v>TuClick</x:v>
      </x:c>
      <x:c r="D82" s="15" t="n">
        <x:f>IF($B82="REAL",SUMIFS(Carga_Reales!$C:$C,Carga_Reales!$A:$A,$A82,Carga_Reales!$B:$B,$C82),SUMIFS(Proyecciones!$C:$C,Proyecciones!$A:$A,$A82,Proyecciones!$B:$B,$C82))*IF($B82="REAL",1,IF(Resumen!$B$5="Conservador",Supuestos!$B$5,IF(Resumen!$B$5="Optimista",Supuestos!$B$7,Supuestos!$B$6)))</x:f>
        <x:v>81.5</x:v>
      </x:c>
      <x:c r="E82" s="16" t="n">
        <x:f>IF($B82="REAL",SUMIFS(Carga_Reales!$D:$D,Carga_Reales!$A:$A,$A82,Carga_Reales!$B:$B,$C82),SUMIFS(Proyecciones!$D:$D,Proyecciones!$A:$A,$A82,Proyecciones!$B:$B,$C82))*IF($B82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82" s="16" t="n">
        <x:f>IF($B82="REAL",SUMIFS(Carga_Reales!$E:$E,Carga_Reales!$A:$A,$A82,Carga_Reales!$B:$B,$C82),SUMIFS(Proyecciones!$E:$E,Proyecciones!$A:$A,$A82,Proyecciones!$B:$B,$C82))*IF($B82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82" s="16" t="n">
        <x:f>IF($B82="REAL",SUMIFS(Carga_Reales!$F:$F,Carga_Reales!$A:$A,$A82,Carga_Reales!$B:$B,$C82),SUMIFS(Proyecciones!$F:$F,Proyecciones!$A:$A,$A82,Proyecciones!$B:$B,$C82))*IF($B82="REAL",1,IF(Resumen!$B$5="Conservador",Supuestos!$B$5,IF(Resumen!$B$5="Optimista",Supuestos!$B$7,Supuestos!$B$6)))</x:f>
        <x:v>18186725</x:v>
      </x:c>
      <x:c r="H82" s="16" t="n">
        <x:f>IF($B82="REAL",SUMIFS(Carga_Reales!$G:$G,Carga_Reales!$A:$A,$A82,Carga_Reales!$B:$B,$C82),SUMIFS(Proyecciones!$G:$G,Proyecciones!$A:$A,$A82,Proyecciones!$B:$B,$C82))*IF($B82="REAL",1,IF(Resumen!$B$5="Conservador",Supuestos!$B$5,IF(Resumen!$B$5="Optimista",Supuestos!$B$7,Supuestos!$B$6)))</x:f>
        <x:v>0</x:v>
      </x:c>
      <x:c r="I82" s="16" t="n">
        <x:f>IF($B82="REAL",SUMIFS(Carga_Reales!$H:$H,Carga_Reales!$A:$A,$A82,Carga_Reales!$B:$B,$C82),SUMIFS(Proyecciones!$H:$H,Proyecciones!$A:$A,$A82,Proyecciones!$B:$B,$C82))*IF($B82="REAL",1,IF(Resumen!$B$5="Conservador",Supuestos!$B$5,IF(Resumen!$B$5="Optimista",Supuestos!$B$7,Supuestos!$B$6)))</x:f>
        <x:v>0</x:v>
      </x:c>
      <x:c r="J82" s="16" t="n">
        <x:f>IF($B82="REAL",SUMIFS(Carga_Reales!$I:$I,Carga_Reales!$A:$A,$A82,Carga_Reales!$B:$B,$C82),SUMIFS(Proyecciones!$I:$I,Proyecciones!$A:$A,$A82,Proyecciones!$B:$B,$C82))*IF($B82="REAL",1,IF(Resumen!$B$5="Conservador",Supuestos!$B$5,IF(Resumen!$B$5="Optimista",Supuestos!$B$7,Supuestos!$B$6)))</x:f>
        <x:v>0</x:v>
      </x:c>
      <x:c r="K82" s="16" t="n">
        <x:f>IF($B82="REAL",SUMIFS(Carga_Reales!$J:$J,Carga_Reales!$A:$A,$A82,Carga_Reales!$B:$B,$C82),SUMIFS(Proyecciones!$J:$J,Proyecciones!$A:$A,$A82,Proyecciones!$B:$B,$C82))*IF($B82="REAL",1,IF(Resumen!$B$5="Conservador",Supuestos!$B$5,IF(Resumen!$B$5="Optimista",Supuestos!$B$7,Supuestos!$B$6)))</x:f>
        <x:v>0</x:v>
      </x:c>
      <x:c r="L82" s="16" t="n">
        <x:f>IF($B82="REAL",SUMIFS(Carga_Reales!$K:$K,Carga_Reales!$A:$A,$A82,Carga_Reales!$B:$B,$C82),SUMIFS(Proyecciones!$K:$K,Proyecciones!$A:$A,$A82,Proyecciones!$B:$B,$C82))*IF($B82="REAL",1,IF(Resumen!$B$5="Conservador",Supuestos!$E$5,IF(Resumen!$B$5="Optimista",Supuestos!$E$7,Supuestos!$E$6)))</x:f>
        <x:v>31865823.5635883</x:v>
      </x:c>
      <x:c r="M82" s="16" t="n">
        <x:f>IF($B82="REAL",SUMIFS(Carga_Reales!$L:$L,Carga_Reales!$A:$A,$A82,Carga_Reales!$B:$B,$C82),SUMIFS(Proyecciones!$L:$L,Proyecciones!$A:$A,$A82,Proyecciones!$B:$B,$C82))*IF($B82="REAL",1,IF(Resumen!$B$5="Conservador",Supuestos!$E$5,IF(Resumen!$B$5="Optimista",Supuestos!$E$7,Supuestos!$E$6)))</x:f>
        <x:v>44944000</x:v>
      </x:c>
      <x:c r="N82" s="16" t="n">
        <x:f>E82+G82+H82+I82+J82+K82</x:f>
        <x:v>587305055.5</x:v>
      </x:c>
      <x:c r="O82" s="16" t="n">
        <x:f>E82-F82+G82+H82+I82+J82+K82-L82-M82</x:f>
        <x:v>23842147.52586171</x:v>
      </x:c>
      <x:c r="P82" s="16" t="n">
        <x:f>O82-IF($B82="REAL",SUMIFS(Carga_Reales!$M:$M,Carga_Reales!$A:$A,$A82,Carga_Reales!$B:$B,$C82),SUMIFS(Proyecciones!$M:$M,Proyecciones!$A:$A,$A82,Proyecciones!$B:$B,$C82))-IF($B82="REAL",SUMIFS(Carga_Reales!$N:$N,Carga_Reales!$A:$A,$A82,Carga_Reales!$B:$B,$C82),SUMIFS(Proyecciones!$N:$N,Proyecciones!$A:$A,$A82,Proyecciones!$B:$B,$C82))</x:f>
        <x:v>14197395.891810112</x:v>
      </x:c>
      <x:c r="Q82" s="16" t="n">
        <x:f>IF($B82="REAL",SUMIFS(Carga_Reales!$O:$O,Carga_Reales!$A:$A,$A82,Carga_Reales!$B:$B,$C82),SUMIFS(Proyecciones!$O:$O,Proyecciones!$A:$A,$A82,Proyecciones!$B:$B,$C82))</x:f>
        <x:v>0</x:v>
      </x:c>
      <x:c r="R82" s="16" t="n">
        <x:f>O82-Q82</x:f>
        <x:v>23842147.52586171</x:v>
      </x:c>
      <x:c r="S82" s="16" t="n">
        <x:f>E82-F82</x:f>
        <x:v>82465246.08945</x:v>
      </x:c>
      <x:c r="T82" s="16" t="n">
        <x:f>L82+M82</x:f>
        <x:v>76809823.56358829</x:v>
      </x:c>
      <x:c r="U82" t="n">
        <x:f>IFERROR((L82+M82)/MAX(1,(S82+G82)/MAX(1,D82)),0)</x:f>
        <x:v>62.194515941164696</x:v>
      </x:c>
    </x:row>
    <x:row r="83">
      <x:c r="A83" s="26" t="n">
        <x:v>46813</x:v>
      </x:c>
      <x:c r="B83" t="str">
        <x:f>IF(EOMONTH($A83,0)&lt;=Resumen!$B$4,"REAL","PROYECTADO")</x:f>
        <x:v>PROYECTADO</x:v>
      </x:c>
      <x:c r="C83" t="str">
        <x:v>Moto para Todos</x:v>
      </x:c>
      <x:c r="D83" s="15" t="n">
        <x:f>IF($B83="REAL",SUMIFS(Carga_Reales!$C:$C,Carga_Reales!$A:$A,$A83,Carga_Reales!$B:$B,$C83),SUMIFS(Proyecciones!$C:$C,Proyecciones!$A:$A,$A83,Proyecciones!$B:$B,$C83))*IF($B83="REAL",1,IF(Resumen!$B$5="Conservador",Supuestos!$B$5,IF(Resumen!$B$5="Optimista",Supuestos!$B$7,Supuestos!$B$6)))</x:f>
        <x:v>205</x:v>
      </x:c>
      <x:c r="E83" s="16" t="n">
        <x:f>IF($B83="REAL",SUMIFS(Carga_Reales!$D:$D,Carga_Reales!$A:$A,$A83,Carga_Reales!$B:$B,$C83),SUMIFS(Proyecciones!$D:$D,Proyecciones!$A:$A,$A83,Proyecciones!$B:$B,$C83))*IF($B83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83" s="16" t="n">
        <x:f>IF($B83="REAL",SUMIFS(Carga_Reales!$E:$E,Carga_Reales!$A:$A,$A83,Carga_Reales!$B:$B,$C83),SUMIFS(Proyecciones!$E:$E,Proyecciones!$A:$A,$A83,Proyecciones!$B:$B,$C83))*IF($B83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83" s="16" t="n">
        <x:f>IF($B83="REAL",SUMIFS(Carga_Reales!$F:$F,Carga_Reales!$A:$A,$A83,Carga_Reales!$B:$B,$C83),SUMIFS(Proyecciones!$F:$F,Proyecciones!$A:$A,$A83,Proyecciones!$B:$B,$C83))*IF($B83="REAL",1,IF(Resumen!$B$5="Conservador",Supuestos!$B$5,IF(Resumen!$B$5="Optimista",Supuestos!$B$7,Supuestos!$B$6)))</x:f>
        <x:v>34850000</x:v>
      </x:c>
      <x:c r="H83" s="16" t="n">
        <x:f>IF($B83="REAL",SUMIFS(Carga_Reales!$G:$G,Carga_Reales!$A:$A,$A83,Carga_Reales!$B:$B,$C83),SUMIFS(Proyecciones!$G:$G,Proyecciones!$A:$A,$A83,Proyecciones!$B:$B,$C83))*IF($B83="REAL",1,IF(Resumen!$B$5="Conservador",Supuestos!$B$5,IF(Resumen!$B$5="Optimista",Supuestos!$B$7,Supuestos!$B$6)))</x:f>
        <x:v>0</x:v>
      </x:c>
      <x:c r="I83" s="16" t="n">
        <x:f>IF($B83="REAL",SUMIFS(Carga_Reales!$H:$H,Carga_Reales!$A:$A,$A83,Carga_Reales!$B:$B,$C83),SUMIFS(Proyecciones!$H:$H,Proyecciones!$A:$A,$A83,Proyecciones!$B:$B,$C83))*IF($B83="REAL",1,IF(Resumen!$B$5="Conservador",Supuestos!$B$5,IF(Resumen!$B$5="Optimista",Supuestos!$B$7,Supuestos!$B$6)))</x:f>
        <x:v>0</x:v>
      </x:c>
      <x:c r="J83" s="16" t="n">
        <x:f>IF($B83="REAL",SUMIFS(Carga_Reales!$I:$I,Carga_Reales!$A:$A,$A83,Carga_Reales!$B:$B,$C83),SUMIFS(Proyecciones!$I:$I,Proyecciones!$A:$A,$A83,Proyecciones!$B:$B,$C83))*IF($B83="REAL",1,IF(Resumen!$B$5="Conservador",Supuestos!$B$5,IF(Resumen!$B$5="Optimista",Supuestos!$B$7,Supuestos!$B$6)))</x:f>
        <x:v>0</x:v>
      </x:c>
      <x:c r="K83" s="16" t="n">
        <x:f>IF($B83="REAL",SUMIFS(Carga_Reales!$J:$J,Carga_Reales!$A:$A,$A83,Carga_Reales!$B:$B,$C83),SUMIFS(Proyecciones!$J:$J,Proyecciones!$A:$A,$A83,Proyecciones!$B:$B,$C83))*IF($B83="REAL",1,IF(Resumen!$B$5="Conservador",Supuestos!$B$5,IF(Resumen!$B$5="Optimista",Supuestos!$B$7,Supuestos!$B$6)))</x:f>
        <x:v>86420725.8712351</x:v>
      </x:c>
      <x:c r="L83" s="16" t="n">
        <x:f>IF($B83="REAL",SUMIFS(Carga_Reales!$K:$K,Carga_Reales!$A:$A,$A83,Carga_Reales!$B:$B,$C83),SUMIFS(Proyecciones!$K:$K,Proyecciones!$A:$A,$A83,Proyecciones!$B:$B,$C83))*IF($B83="REAL",1,IF(Resumen!$B$5="Conservador",Supuestos!$E$5,IF(Resumen!$B$5="Optimista",Supuestos!$E$7,Supuestos!$E$6)))</x:f>
        <x:v>90774371.830064</x:v>
      </x:c>
      <x:c r="M83" s="16" t="n">
        <x:f>IF($B83="REAL",SUMIFS(Carga_Reales!$L:$L,Carga_Reales!$A:$A,$A83,Carga_Reales!$B:$B,$C83),SUMIFS(Proyecciones!$L:$L,Proyecciones!$A:$A,$A83,Proyecciones!$B:$B,$C83))*IF($B83="REAL",1,IF(Resumen!$B$5="Conservador",Supuestos!$E$5,IF(Resumen!$B$5="Optimista",Supuestos!$E$7,Supuestos!$E$6)))</x:f>
        <x:v>54382240</x:v>
      </x:c>
      <x:c r="N83" s="16" t="n">
        <x:f>E83+G83+H83+I83+J83+K83</x:f>
        <x:v>1290174165.8712351</x:v>
      </x:c>
      <x:c r="O83" s="16" t="n">
        <x:f>E83-F83+G83+H83+I83+J83+K83-L83-M83</x:f>
        <x:v>181724229.1371711</x:v>
      </x:c>
      <x:c r="P83" s="16" t="n">
        <x:f>O83-IF($B83="REAL",SUMIFS(Carga_Reales!$M:$M,Carga_Reales!$A:$A,$A83,Carga_Reales!$B:$B,$C83),SUMIFS(Proyecciones!$M:$M,Proyecciones!$A:$A,$A83,Proyecciones!$B:$B,$C83))-IF($B83="REAL",SUMIFS(Carga_Reales!$N:$N,Carga_Reales!$A:$A,$A83,Carga_Reales!$B:$B,$C83),SUMIFS(Proyecciones!$N:$N,Proyecciones!$A:$A,$A83,Proyecciones!$B:$B,$C83))</x:f>
        <x:v>115520748.93916118</x:v>
      </x:c>
      <x:c r="Q83" s="16" t="n">
        <x:f>IF($B83="REAL",SUMIFS(Carga_Reales!$O:$O,Carga_Reales!$A:$A,$A83,Carga_Reales!$B:$B,$C83),SUMIFS(Proyecciones!$O:$O,Proyecciones!$A:$A,$A83,Proyecciones!$B:$B,$C83))</x:f>
        <x:v>0</x:v>
      </x:c>
      <x:c r="R83" s="16" t="n">
        <x:f>O83-Q83</x:f>
        <x:v>181724229.1371711</x:v>
      </x:c>
      <x:c r="S83" s="16" t="n">
        <x:f>E83-F83</x:f>
        <x:v>205610115.09599996</x:v>
      </x:c>
      <x:c r="T83" s="16" t="n">
        <x:f>L83+M83</x:f>
        <x:v>145156611.830064</x:v>
      </x:c>
      <x:c r="U83" t="n">
        <x:f>IFERROR((L83+M83)/MAX(1,(S83+G83)/MAX(1,D83)),0)</x:f>
        <x:v>123.75069110019788</x:v>
      </x:c>
    </x:row>
    <x:row r="84">
      <x:c r="A84" s="26" t="n">
        <x:v>46813</x:v>
      </x:c>
      <x:c r="B84" t="str">
        <x:f>IF(EOMONTH($A84,0)&lt;=Resumen!$B$4,"REAL","PROYECTADO")</x:f>
        <x:v>PROYECTADO</x:v>
      </x:c>
      <x:c r="C84" t="str">
        <x:v>Verificarte</x:v>
      </x:c>
      <x:c r="D84" s="15" t="n">
        <x:f>IF($B84="REAL",SUMIFS(Carga_Reales!$C:$C,Carga_Reales!$A:$A,$A84,Carga_Reales!$B:$B,$C84),SUMIFS(Proyecciones!$C:$C,Proyecciones!$A:$A,$A84,Proyecciones!$B:$B,$C84))*IF($B84="REAL",1,IF(Resumen!$B$5="Conservador",Supuestos!$B$5,IF(Resumen!$B$5="Optimista",Supuestos!$B$7,Supuestos!$B$6)))</x:f>
        <x:v>213.5</x:v>
      </x:c>
      <x:c r="E84" s="16" t="n">
        <x:f>IF($B84="REAL",SUMIFS(Carga_Reales!$D:$D,Carga_Reales!$A:$A,$A84,Carga_Reales!$B:$B,$C84),SUMIFS(Proyecciones!$D:$D,Proyecciones!$A:$A,$A84,Proyecciones!$B:$B,$C84))*IF($B84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84" s="16" t="n">
        <x:f>IF($B84="REAL",SUMIFS(Carga_Reales!$E:$E,Carga_Reales!$A:$A,$A84,Carga_Reales!$B:$B,$C84),SUMIFS(Proyecciones!$E:$E,Proyecciones!$A:$A,$A84,Proyecciones!$B:$B,$C84))*IF($B84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84" s="16" t="n">
        <x:f>IF($B84="REAL",SUMIFS(Carga_Reales!$F:$F,Carga_Reales!$A:$A,$A84,Carga_Reales!$B:$B,$C84),SUMIFS(Proyecciones!$F:$F,Proyecciones!$A:$A,$A84,Proyecciones!$B:$B,$C84))*IF($B84="REAL",1,IF(Resumen!$B$5="Conservador",Supuestos!$B$5,IF(Resumen!$B$5="Optimista",Supuestos!$B$7,Supuestos!$B$6)))</x:f>
        <x:v>26858300</x:v>
      </x:c>
      <x:c r="H84" s="16" t="n">
        <x:f>IF($B84="REAL",SUMIFS(Carga_Reales!$G:$G,Carga_Reales!$A:$A,$A84,Carga_Reales!$B:$B,$C84),SUMIFS(Proyecciones!$G:$G,Proyecciones!$A:$A,$A84,Proyecciones!$B:$B,$C84))*IF($B84="REAL",1,IF(Resumen!$B$5="Conservador",Supuestos!$B$5,IF(Resumen!$B$5="Optimista",Supuestos!$B$7,Supuestos!$B$6)))</x:f>
        <x:v>0</x:v>
      </x:c>
      <x:c r="I84" s="16" t="n">
        <x:f>IF($B84="REAL",SUMIFS(Carga_Reales!$H:$H,Carga_Reales!$A:$A,$A84,Carga_Reales!$B:$B,$C84),SUMIFS(Proyecciones!$H:$H,Proyecciones!$A:$A,$A84,Proyecciones!$B:$B,$C84))*IF($B84="REAL",1,IF(Resumen!$B$5="Conservador",Supuestos!$B$5,IF(Resumen!$B$5="Optimista",Supuestos!$B$7,Supuestos!$B$6)))</x:f>
        <x:v>0</x:v>
      </x:c>
      <x:c r="J84" s="16" t="n">
        <x:f>IF($B84="REAL",SUMIFS(Carga_Reales!$I:$I,Carga_Reales!$A:$A,$A84,Carga_Reales!$B:$B,$C84),SUMIFS(Proyecciones!$I:$I,Proyecciones!$A:$A,$A84,Proyecciones!$B:$B,$C84))*IF($B84="REAL",1,IF(Resumen!$B$5="Conservador",Supuestos!$B$5,IF(Resumen!$B$5="Optimista",Supuestos!$B$7,Supuestos!$B$6)))</x:f>
        <x:v>0</x:v>
      </x:c>
      <x:c r="K84" s="16" t="n">
        <x:f>IF($B84="REAL",SUMIFS(Carga_Reales!$J:$J,Carga_Reales!$A:$A,$A84,Carga_Reales!$B:$B,$C84),SUMIFS(Proyecciones!$J:$J,Proyecciones!$A:$A,$A84,Proyecciones!$B:$B,$C84))*IF($B84="REAL",1,IF(Resumen!$B$5="Conservador",Supuestos!$B$5,IF(Resumen!$B$5="Optimista",Supuestos!$B$7,Supuestos!$B$6)))</x:f>
        <x:v>0</x:v>
      </x:c>
      <x:c r="L84" s="16" t="n">
        <x:f>IF($B84="REAL",SUMIFS(Carga_Reales!$K:$K,Carga_Reales!$A:$A,$A84,Carga_Reales!$B:$B,$C84),SUMIFS(Proyecciones!$K:$K,Proyecciones!$A:$A,$A84,Proyecciones!$B:$B,$C84))*IF($B84="REAL",1,IF(Resumen!$B$5="Conservador",Supuestos!$E$5,IF(Resumen!$B$5="Optimista",Supuestos!$E$7,Supuestos!$E$6)))</x:f>
        <x:v>73089161.6281478</x:v>
      </x:c>
      <x:c r="M84" s="16" t="n">
        <x:f>IF($B84="REAL",SUMIFS(Carga_Reales!$L:$L,Carga_Reales!$A:$A,$A84,Carga_Reales!$B:$B,$C84),SUMIFS(Proyecciones!$L:$L,Proyecciones!$A:$A,$A84,Proyecciones!$B:$B,$C84))*IF($B84="REAL",1,IF(Resumen!$B$5="Conservador",Supuestos!$E$5,IF(Resumen!$B$5="Optimista",Supuestos!$E$7,Supuestos!$E$6)))</x:f>
        <x:v>79775600</x:v>
      </x:c>
      <x:c r="N84" s="16" t="n">
        <x:f>E84+G84+H84+I84+J84+K84</x:f>
        <x:v>2018293000.5</x:v>
      </x:c>
      <x:c r="O84" s="16" t="n">
        <x:f>E84-F84+G84+H84+I84+J84+K84-L84-M84</x:f>
        <x:v>202580263.9543522</x:v>
      </x:c>
      <x:c r="P84" s="16" t="n">
        <x:f>O84-IF($B84="REAL",SUMIFS(Carga_Reales!$M:$M,Carga_Reales!$A:$A,$A84,Carga_Reales!$B:$B,$C84),SUMIFS(Proyecciones!$M:$M,Proyecciones!$A:$A,$A84,Proyecciones!$B:$B,$C84))-IF($B84="REAL",SUMIFS(Carga_Reales!$N:$N,Carga_Reales!$A:$A,$A84,Carga_Reales!$B:$B,$C84),SUMIFS(Proyecciones!$N:$N,Proyecciones!$A:$A,$A84,Proyecciones!$B:$B,$C84))</x:f>
        <x:v>129077171.5703288</x:v>
      </x:c>
      <x:c r="Q84" s="16" t="n">
        <x:f>IF($B84="REAL",SUMIFS(Carga_Reales!$O:$O,Carga_Reales!$A:$A,$A84,Carga_Reales!$B:$B,$C84),SUMIFS(Proyecciones!$O:$O,Proyecciones!$A:$A,$A84,Proyecciones!$B:$B,$C84))</x:f>
        <x:v>0</x:v>
      </x:c>
      <x:c r="R84" s="16" t="n">
        <x:f>O84-Q84</x:f>
        <x:v>202580263.9543522</x:v>
      </x:c>
      <x:c r="S84" s="16" t="n">
        <x:f>E84-F84</x:f>
        <x:v>328586725.5825</x:v>
      </x:c>
      <x:c r="T84" s="16" t="n">
        <x:f>L84+M84</x:f>
        <x:v>152864761.62814778</x:v>
      </x:c>
      <x:c r="U84" t="n">
        <x:f>IFERROR((L84+M84)/MAX(1,(S84+G84)/MAX(1,D84)),0)</x:f>
        <x:v>91.81905571508548</x:v>
      </x:c>
    </x:row>
    <x:row r="85">
      <x:c r="A85" s="26" t="n">
        <x:v>46813</x:v>
      </x:c>
      <x:c r="B85" t="str">
        <x:f>IF(EOMONTH($A85,0)&lt;=Resumen!$B$4,"REAL","PROYECTADO")</x:f>
        <x:v>PROYECTADO</x:v>
      </x:c>
      <x:c r="C85" t="str">
        <x:v>TuClick</x:v>
      </x:c>
      <x:c r="D85" s="15" t="n">
        <x:f>IF($B85="REAL",SUMIFS(Carga_Reales!$C:$C,Carga_Reales!$A:$A,$A85,Carga_Reales!$B:$B,$C85),SUMIFS(Proyecciones!$C:$C,Proyecciones!$A:$A,$A85,Proyecciones!$B:$B,$C85))*IF($B85="REAL",1,IF(Resumen!$B$5="Conservador",Supuestos!$B$5,IF(Resumen!$B$5="Optimista",Supuestos!$B$7,Supuestos!$B$6)))</x:f>
        <x:v>81.5</x:v>
      </x:c>
      <x:c r="E85" s="16" t="n">
        <x:f>IF($B85="REAL",SUMIFS(Carga_Reales!$D:$D,Carga_Reales!$A:$A,$A85,Carga_Reales!$B:$B,$C85),SUMIFS(Proyecciones!$D:$D,Proyecciones!$A:$A,$A85,Proyecciones!$B:$B,$C85))*IF($B85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85" s="16" t="n">
        <x:f>IF($B85="REAL",SUMIFS(Carga_Reales!$E:$E,Carga_Reales!$A:$A,$A85,Carga_Reales!$B:$B,$C85),SUMIFS(Proyecciones!$E:$E,Proyecciones!$A:$A,$A85,Proyecciones!$B:$B,$C85))*IF($B85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85" s="16" t="n">
        <x:f>IF($B85="REAL",SUMIFS(Carga_Reales!$F:$F,Carga_Reales!$A:$A,$A85,Carga_Reales!$B:$B,$C85),SUMIFS(Proyecciones!$F:$F,Proyecciones!$A:$A,$A85,Proyecciones!$B:$B,$C85))*IF($B85="REAL",1,IF(Resumen!$B$5="Conservador",Supuestos!$B$5,IF(Resumen!$B$5="Optimista",Supuestos!$B$7,Supuestos!$B$6)))</x:f>
        <x:v>18186725</x:v>
      </x:c>
      <x:c r="H85" s="16" t="n">
        <x:f>IF($B85="REAL",SUMIFS(Carga_Reales!$G:$G,Carga_Reales!$A:$A,$A85,Carga_Reales!$B:$B,$C85),SUMIFS(Proyecciones!$G:$G,Proyecciones!$A:$A,$A85,Proyecciones!$B:$B,$C85))*IF($B85="REAL",1,IF(Resumen!$B$5="Conservador",Supuestos!$B$5,IF(Resumen!$B$5="Optimista",Supuestos!$B$7,Supuestos!$B$6)))</x:f>
        <x:v>0</x:v>
      </x:c>
      <x:c r="I85" s="16" t="n">
        <x:f>IF($B85="REAL",SUMIFS(Carga_Reales!$H:$H,Carga_Reales!$A:$A,$A85,Carga_Reales!$B:$B,$C85),SUMIFS(Proyecciones!$H:$H,Proyecciones!$A:$A,$A85,Proyecciones!$B:$B,$C85))*IF($B85="REAL",1,IF(Resumen!$B$5="Conservador",Supuestos!$B$5,IF(Resumen!$B$5="Optimista",Supuestos!$B$7,Supuestos!$B$6)))</x:f>
        <x:v>0</x:v>
      </x:c>
      <x:c r="J85" s="16" t="n">
        <x:f>IF($B85="REAL",SUMIFS(Carga_Reales!$I:$I,Carga_Reales!$A:$A,$A85,Carga_Reales!$B:$B,$C85),SUMIFS(Proyecciones!$I:$I,Proyecciones!$A:$A,$A85,Proyecciones!$B:$B,$C85))*IF($B85="REAL",1,IF(Resumen!$B$5="Conservador",Supuestos!$B$5,IF(Resumen!$B$5="Optimista",Supuestos!$B$7,Supuestos!$B$6)))</x:f>
        <x:v>0</x:v>
      </x:c>
      <x:c r="K85" s="16" t="n">
        <x:f>IF($B85="REAL",SUMIFS(Carga_Reales!$J:$J,Carga_Reales!$A:$A,$A85,Carga_Reales!$B:$B,$C85),SUMIFS(Proyecciones!$J:$J,Proyecciones!$A:$A,$A85,Proyecciones!$B:$B,$C85))*IF($B85="REAL",1,IF(Resumen!$B$5="Conservador",Supuestos!$B$5,IF(Resumen!$B$5="Optimista",Supuestos!$B$7,Supuestos!$B$6)))</x:f>
        <x:v>0</x:v>
      </x:c>
      <x:c r="L85" s="16" t="n">
        <x:f>IF($B85="REAL",SUMIFS(Carga_Reales!$K:$K,Carga_Reales!$A:$A,$A85,Carga_Reales!$B:$B,$C85),SUMIFS(Proyecciones!$K:$K,Proyecciones!$A:$A,$A85,Proyecciones!$B:$B,$C85))*IF($B85="REAL",1,IF(Resumen!$B$5="Conservador",Supuestos!$E$5,IF(Resumen!$B$5="Optimista",Supuestos!$E$7,Supuestos!$E$6)))</x:f>
        <x:v>31865823.5635883</x:v>
      </x:c>
      <x:c r="M85" s="16" t="n">
        <x:f>IF($B85="REAL",SUMIFS(Carga_Reales!$L:$L,Carga_Reales!$A:$A,$A85,Carga_Reales!$B:$B,$C85),SUMIFS(Proyecciones!$L:$L,Proyecciones!$A:$A,$A85,Proyecciones!$B:$B,$C85))*IF($B85="REAL",1,IF(Resumen!$B$5="Conservador",Supuestos!$E$5,IF(Resumen!$B$5="Optimista",Supuestos!$E$7,Supuestos!$E$6)))</x:f>
        <x:v>44944000</x:v>
      </x:c>
      <x:c r="N85" s="16" t="n">
        <x:f>E85+G85+H85+I85+J85+K85</x:f>
        <x:v>587305055.5</x:v>
      </x:c>
      <x:c r="O85" s="16" t="n">
        <x:f>E85-F85+G85+H85+I85+J85+K85-L85-M85</x:f>
        <x:v>23842147.52586171</x:v>
      </x:c>
      <x:c r="P85" s="16" t="n">
        <x:f>O85-IF($B85="REAL",SUMIFS(Carga_Reales!$M:$M,Carga_Reales!$A:$A,$A85,Carga_Reales!$B:$B,$C85),SUMIFS(Proyecciones!$M:$M,Proyecciones!$A:$A,$A85,Proyecciones!$B:$B,$C85))-IF($B85="REAL",SUMIFS(Carga_Reales!$N:$N,Carga_Reales!$A:$A,$A85,Carga_Reales!$B:$B,$C85),SUMIFS(Proyecciones!$N:$N,Proyecciones!$A:$A,$A85,Proyecciones!$B:$B,$C85))</x:f>
        <x:v>14197395.891810112</x:v>
      </x:c>
      <x:c r="Q85" s="16" t="n">
        <x:f>IF($B85="REAL",SUMIFS(Carga_Reales!$O:$O,Carga_Reales!$A:$A,$A85,Carga_Reales!$B:$B,$C85),SUMIFS(Proyecciones!$O:$O,Proyecciones!$A:$A,$A85,Proyecciones!$B:$B,$C85))</x:f>
        <x:v>0</x:v>
      </x:c>
      <x:c r="R85" s="16" t="n">
        <x:f>O85-Q85</x:f>
        <x:v>23842147.52586171</x:v>
      </x:c>
      <x:c r="S85" s="16" t="n">
        <x:f>E85-F85</x:f>
        <x:v>82465246.08945</x:v>
      </x:c>
      <x:c r="T85" s="16" t="n">
        <x:f>L85+M85</x:f>
        <x:v>76809823.56358829</x:v>
      </x:c>
      <x:c r="U85" t="n">
        <x:f>IFERROR((L85+M85)/MAX(1,(S85+G85)/MAX(1,D85)),0)</x:f>
        <x:v>62.194515941164696</x:v>
      </x:c>
    </x:row>
    <x:row r="86">
      <x:c r="A86" s="26" t="n">
        <x:v>46844</x:v>
      </x:c>
      <x:c r="B86" t="str">
        <x:f>IF(EOMONTH($A86,0)&lt;=Resumen!$B$4,"REAL","PROYECTADO")</x:f>
        <x:v>PROYECTADO</x:v>
      </x:c>
      <x:c r="C86" t="str">
        <x:v>Moto para Todos</x:v>
      </x:c>
      <x:c r="D86" s="15" t="n">
        <x:f>IF($B86="REAL",SUMIFS(Carga_Reales!$C:$C,Carga_Reales!$A:$A,$A86,Carga_Reales!$B:$B,$C86),SUMIFS(Proyecciones!$C:$C,Proyecciones!$A:$A,$A86,Proyecciones!$B:$B,$C86))*IF($B86="REAL",1,IF(Resumen!$B$5="Conservador",Supuestos!$B$5,IF(Resumen!$B$5="Optimista",Supuestos!$B$7,Supuestos!$B$6)))</x:f>
        <x:v>205</x:v>
      </x:c>
      <x:c r="E86" s="16" t="n">
        <x:f>IF($B86="REAL",SUMIFS(Carga_Reales!$D:$D,Carga_Reales!$A:$A,$A86,Carga_Reales!$B:$B,$C86),SUMIFS(Proyecciones!$D:$D,Proyecciones!$A:$A,$A86,Proyecciones!$B:$B,$C86))*IF($B86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86" s="16" t="n">
        <x:f>IF($B86="REAL",SUMIFS(Carga_Reales!$E:$E,Carga_Reales!$A:$A,$A86,Carga_Reales!$B:$B,$C86),SUMIFS(Proyecciones!$E:$E,Proyecciones!$A:$A,$A86,Proyecciones!$B:$B,$C86))*IF($B86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86" s="16" t="n">
        <x:f>IF($B86="REAL",SUMIFS(Carga_Reales!$F:$F,Carga_Reales!$A:$A,$A86,Carga_Reales!$B:$B,$C86),SUMIFS(Proyecciones!$F:$F,Proyecciones!$A:$A,$A86,Proyecciones!$B:$B,$C86))*IF($B86="REAL",1,IF(Resumen!$B$5="Conservador",Supuestos!$B$5,IF(Resumen!$B$5="Optimista",Supuestos!$B$7,Supuestos!$B$6)))</x:f>
        <x:v>34850000</x:v>
      </x:c>
      <x:c r="H86" s="16" t="n">
        <x:f>IF($B86="REAL",SUMIFS(Carga_Reales!$G:$G,Carga_Reales!$A:$A,$A86,Carga_Reales!$B:$B,$C86),SUMIFS(Proyecciones!$G:$G,Proyecciones!$A:$A,$A86,Proyecciones!$B:$B,$C86))*IF($B86="REAL",1,IF(Resumen!$B$5="Conservador",Supuestos!$B$5,IF(Resumen!$B$5="Optimista",Supuestos!$B$7,Supuestos!$B$6)))</x:f>
        <x:v>0</x:v>
      </x:c>
      <x:c r="I86" s="16" t="n">
        <x:f>IF($B86="REAL",SUMIFS(Carga_Reales!$H:$H,Carga_Reales!$A:$A,$A86,Carga_Reales!$B:$B,$C86),SUMIFS(Proyecciones!$H:$H,Proyecciones!$A:$A,$A86,Proyecciones!$B:$B,$C86))*IF($B86="REAL",1,IF(Resumen!$B$5="Conservador",Supuestos!$B$5,IF(Resumen!$B$5="Optimista",Supuestos!$B$7,Supuestos!$B$6)))</x:f>
        <x:v>0</x:v>
      </x:c>
      <x:c r="J86" s="16" t="n">
        <x:f>IF($B86="REAL",SUMIFS(Carga_Reales!$I:$I,Carga_Reales!$A:$A,$A86,Carga_Reales!$B:$B,$C86),SUMIFS(Proyecciones!$I:$I,Proyecciones!$A:$A,$A86,Proyecciones!$B:$B,$C86))*IF($B86="REAL",1,IF(Resumen!$B$5="Conservador",Supuestos!$B$5,IF(Resumen!$B$5="Optimista",Supuestos!$B$7,Supuestos!$B$6)))</x:f>
        <x:v>0</x:v>
      </x:c>
      <x:c r="K86" s="16" t="n">
        <x:f>IF($B86="REAL",SUMIFS(Carga_Reales!$J:$J,Carga_Reales!$A:$A,$A86,Carga_Reales!$B:$B,$C86),SUMIFS(Proyecciones!$J:$J,Proyecciones!$A:$A,$A86,Proyecciones!$B:$B,$C86))*IF($B86="REAL",1,IF(Resumen!$B$5="Conservador",Supuestos!$B$5,IF(Resumen!$B$5="Optimista",Supuestos!$B$7,Supuestos!$B$6)))</x:f>
        <x:v>89914862.293267</x:v>
      </x:c>
      <x:c r="L86" s="16" t="n">
        <x:f>IF($B86="REAL",SUMIFS(Carga_Reales!$K:$K,Carga_Reales!$A:$A,$A86,Carga_Reales!$B:$B,$C86),SUMIFS(Proyecciones!$K:$K,Proyecciones!$A:$A,$A86,Proyecciones!$B:$B,$C86))*IF($B86="REAL",1,IF(Resumen!$B$5="Conservador",Supuestos!$E$5,IF(Resumen!$B$5="Optimista",Supuestos!$E$7,Supuestos!$E$6)))</x:f>
        <x:v>90774371.830064</x:v>
      </x:c>
      <x:c r="M86" s="16" t="n">
        <x:f>IF($B86="REAL",SUMIFS(Carga_Reales!$L:$L,Carga_Reales!$A:$A,$A86,Carga_Reales!$B:$B,$C86),SUMIFS(Proyecciones!$L:$L,Proyecciones!$A:$A,$A86,Proyecciones!$B:$B,$C86))*IF($B86="REAL",1,IF(Resumen!$B$5="Conservador",Supuestos!$E$5,IF(Resumen!$B$5="Optimista",Supuestos!$E$7,Supuestos!$E$6)))</x:f>
        <x:v>54382240</x:v>
      </x:c>
      <x:c r="N86" s="16" t="n">
        <x:f>E86+G86+H86+I86+J86+K86</x:f>
        <x:v>1293668302.293267</x:v>
      </x:c>
      <x:c r="O86" s="16" t="n">
        <x:f>E86-F86+G86+H86+I86+J86+K86-L86-M86</x:f>
        <x:v>185218365.55920297</x:v>
      </x:c>
      <x:c r="P86" s="16" t="n">
        <x:f>O86-IF($B86="REAL",SUMIFS(Carga_Reales!$M:$M,Carga_Reales!$A:$A,$A86,Carga_Reales!$B:$B,$C86),SUMIFS(Proyecciones!$M:$M,Proyecciones!$A:$A,$A86,Proyecciones!$B:$B,$C86))-IF($B86="REAL",SUMIFS(Carga_Reales!$N:$N,Carga_Reales!$A:$A,$A86,Carga_Reales!$B:$B,$C86),SUMIFS(Proyecciones!$N:$N,Proyecciones!$A:$A,$A86,Proyecciones!$B:$B,$C86))</x:f>
        <x:v>117791937.61348197</x:v>
      </x:c>
      <x:c r="Q86" s="16" t="n">
        <x:f>IF($B86="REAL",SUMIFS(Carga_Reales!$O:$O,Carga_Reales!$A:$A,$A86,Carga_Reales!$B:$B,$C86),SUMIFS(Proyecciones!$O:$O,Proyecciones!$A:$A,$A86,Proyecciones!$B:$B,$C86))</x:f>
        <x:v>0</x:v>
      </x:c>
      <x:c r="R86" s="16" t="n">
        <x:f>O86-Q86</x:f>
        <x:v>185218365.55920297</x:v>
      </x:c>
      <x:c r="S86" s="16" t="n">
        <x:f>E86-F86</x:f>
        <x:v>205610115.09599996</x:v>
      </x:c>
      <x:c r="T86" s="16" t="n">
        <x:f>L86+M86</x:f>
        <x:v>145156611.830064</x:v>
      </x:c>
      <x:c r="U86" t="n">
        <x:f>IFERROR((L86+M86)/MAX(1,(S86+G86)/MAX(1,D86)),0)</x:f>
        <x:v>123.75069110019788</x:v>
      </x:c>
    </x:row>
    <x:row r="87">
      <x:c r="A87" s="26" t="n">
        <x:v>46844</x:v>
      </x:c>
      <x:c r="B87" t="str">
        <x:f>IF(EOMONTH($A87,0)&lt;=Resumen!$B$4,"REAL","PROYECTADO")</x:f>
        <x:v>PROYECTADO</x:v>
      </x:c>
      <x:c r="C87" t="str">
        <x:v>Verificarte</x:v>
      </x:c>
      <x:c r="D87" s="15" t="n">
        <x:f>IF($B87="REAL",SUMIFS(Carga_Reales!$C:$C,Carga_Reales!$A:$A,$A87,Carga_Reales!$B:$B,$C87),SUMIFS(Proyecciones!$C:$C,Proyecciones!$A:$A,$A87,Proyecciones!$B:$B,$C87))*IF($B87="REAL",1,IF(Resumen!$B$5="Conservador",Supuestos!$B$5,IF(Resumen!$B$5="Optimista",Supuestos!$B$7,Supuestos!$B$6)))</x:f>
        <x:v>213.5</x:v>
      </x:c>
      <x:c r="E87" s="16" t="n">
        <x:f>IF($B87="REAL",SUMIFS(Carga_Reales!$D:$D,Carga_Reales!$A:$A,$A87,Carga_Reales!$B:$B,$C87),SUMIFS(Proyecciones!$D:$D,Proyecciones!$A:$A,$A87,Proyecciones!$B:$B,$C87))*IF($B87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87" s="16" t="n">
        <x:f>IF($B87="REAL",SUMIFS(Carga_Reales!$E:$E,Carga_Reales!$A:$A,$A87,Carga_Reales!$B:$B,$C87),SUMIFS(Proyecciones!$E:$E,Proyecciones!$A:$A,$A87,Proyecciones!$B:$B,$C87))*IF($B87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87" s="16" t="n">
        <x:f>IF($B87="REAL",SUMIFS(Carga_Reales!$F:$F,Carga_Reales!$A:$A,$A87,Carga_Reales!$B:$B,$C87),SUMIFS(Proyecciones!$F:$F,Proyecciones!$A:$A,$A87,Proyecciones!$B:$B,$C87))*IF($B87="REAL",1,IF(Resumen!$B$5="Conservador",Supuestos!$B$5,IF(Resumen!$B$5="Optimista",Supuestos!$B$7,Supuestos!$B$6)))</x:f>
        <x:v>26858300</x:v>
      </x:c>
      <x:c r="H87" s="16" t="n">
        <x:f>IF($B87="REAL",SUMIFS(Carga_Reales!$G:$G,Carga_Reales!$A:$A,$A87,Carga_Reales!$B:$B,$C87),SUMIFS(Proyecciones!$G:$G,Proyecciones!$A:$A,$A87,Proyecciones!$B:$B,$C87))*IF($B87="REAL",1,IF(Resumen!$B$5="Conservador",Supuestos!$B$5,IF(Resumen!$B$5="Optimista",Supuestos!$B$7,Supuestos!$B$6)))</x:f>
        <x:v>0</x:v>
      </x:c>
      <x:c r="I87" s="16" t="n">
        <x:f>IF($B87="REAL",SUMIFS(Carga_Reales!$H:$H,Carga_Reales!$A:$A,$A87,Carga_Reales!$B:$B,$C87),SUMIFS(Proyecciones!$H:$H,Proyecciones!$A:$A,$A87,Proyecciones!$B:$B,$C87))*IF($B87="REAL",1,IF(Resumen!$B$5="Conservador",Supuestos!$B$5,IF(Resumen!$B$5="Optimista",Supuestos!$B$7,Supuestos!$B$6)))</x:f>
        <x:v>0</x:v>
      </x:c>
      <x:c r="J87" s="16" t="n">
        <x:f>IF($B87="REAL",SUMIFS(Carga_Reales!$I:$I,Carga_Reales!$A:$A,$A87,Carga_Reales!$B:$B,$C87),SUMIFS(Proyecciones!$I:$I,Proyecciones!$A:$A,$A87,Proyecciones!$B:$B,$C87))*IF($B87="REAL",1,IF(Resumen!$B$5="Conservador",Supuestos!$B$5,IF(Resumen!$B$5="Optimista",Supuestos!$B$7,Supuestos!$B$6)))</x:f>
        <x:v>0</x:v>
      </x:c>
      <x:c r="K87" s="16" t="n">
        <x:f>IF($B87="REAL",SUMIFS(Carga_Reales!$J:$J,Carga_Reales!$A:$A,$A87,Carga_Reales!$B:$B,$C87),SUMIFS(Proyecciones!$J:$J,Proyecciones!$A:$A,$A87,Proyecciones!$B:$B,$C87))*IF($B87="REAL",1,IF(Resumen!$B$5="Conservador",Supuestos!$B$5,IF(Resumen!$B$5="Optimista",Supuestos!$B$7,Supuestos!$B$6)))</x:f>
        <x:v>0</x:v>
      </x:c>
      <x:c r="L87" s="16" t="n">
        <x:f>IF($B87="REAL",SUMIFS(Carga_Reales!$K:$K,Carga_Reales!$A:$A,$A87,Carga_Reales!$B:$B,$C87),SUMIFS(Proyecciones!$K:$K,Proyecciones!$A:$A,$A87,Proyecciones!$B:$B,$C87))*IF($B87="REAL",1,IF(Resumen!$B$5="Conservador",Supuestos!$E$5,IF(Resumen!$B$5="Optimista",Supuestos!$E$7,Supuestos!$E$6)))</x:f>
        <x:v>73089161.6281478</x:v>
      </x:c>
      <x:c r="M87" s="16" t="n">
        <x:f>IF($B87="REAL",SUMIFS(Carga_Reales!$L:$L,Carga_Reales!$A:$A,$A87,Carga_Reales!$B:$B,$C87),SUMIFS(Proyecciones!$L:$L,Proyecciones!$A:$A,$A87,Proyecciones!$B:$B,$C87))*IF($B87="REAL",1,IF(Resumen!$B$5="Conservador",Supuestos!$E$5,IF(Resumen!$B$5="Optimista",Supuestos!$E$7,Supuestos!$E$6)))</x:f>
        <x:v>79775600</x:v>
      </x:c>
      <x:c r="N87" s="16" t="n">
        <x:f>E87+G87+H87+I87+J87+K87</x:f>
        <x:v>2018293000.5</x:v>
      </x:c>
      <x:c r="O87" s="16" t="n">
        <x:f>E87-F87+G87+H87+I87+J87+K87-L87-M87</x:f>
        <x:v>202580263.9543522</x:v>
      </x:c>
      <x:c r="P87" s="16" t="n">
        <x:f>O87-IF($B87="REAL",SUMIFS(Carga_Reales!$M:$M,Carga_Reales!$A:$A,$A87,Carga_Reales!$B:$B,$C87),SUMIFS(Proyecciones!$M:$M,Proyecciones!$A:$A,$A87,Proyecciones!$B:$B,$C87))-IF($B87="REAL",SUMIFS(Carga_Reales!$N:$N,Carga_Reales!$A:$A,$A87,Carga_Reales!$B:$B,$C87),SUMIFS(Proyecciones!$N:$N,Proyecciones!$A:$A,$A87,Proyecciones!$B:$B,$C87))</x:f>
        <x:v>129077171.5703288</x:v>
      </x:c>
      <x:c r="Q87" s="16" t="n">
        <x:f>IF($B87="REAL",SUMIFS(Carga_Reales!$O:$O,Carga_Reales!$A:$A,$A87,Carga_Reales!$B:$B,$C87),SUMIFS(Proyecciones!$O:$O,Proyecciones!$A:$A,$A87,Proyecciones!$B:$B,$C87))</x:f>
        <x:v>0</x:v>
      </x:c>
      <x:c r="R87" s="16" t="n">
        <x:f>O87-Q87</x:f>
        <x:v>202580263.9543522</x:v>
      </x:c>
      <x:c r="S87" s="16" t="n">
        <x:f>E87-F87</x:f>
        <x:v>328586725.5825</x:v>
      </x:c>
      <x:c r="T87" s="16" t="n">
        <x:f>L87+M87</x:f>
        <x:v>152864761.62814778</x:v>
      </x:c>
      <x:c r="U87" t="n">
        <x:f>IFERROR((L87+M87)/MAX(1,(S87+G87)/MAX(1,D87)),0)</x:f>
        <x:v>91.81905571508548</x:v>
      </x:c>
    </x:row>
    <x:row r="88">
      <x:c r="A88" s="26" t="n">
        <x:v>46844</x:v>
      </x:c>
      <x:c r="B88" t="str">
        <x:f>IF(EOMONTH($A88,0)&lt;=Resumen!$B$4,"REAL","PROYECTADO")</x:f>
        <x:v>PROYECTADO</x:v>
      </x:c>
      <x:c r="C88" t="str">
        <x:v>TuClick</x:v>
      </x:c>
      <x:c r="D88" s="15" t="n">
        <x:f>IF($B88="REAL",SUMIFS(Carga_Reales!$C:$C,Carga_Reales!$A:$A,$A88,Carga_Reales!$B:$B,$C88),SUMIFS(Proyecciones!$C:$C,Proyecciones!$A:$A,$A88,Proyecciones!$B:$B,$C88))*IF($B88="REAL",1,IF(Resumen!$B$5="Conservador",Supuestos!$B$5,IF(Resumen!$B$5="Optimista",Supuestos!$B$7,Supuestos!$B$6)))</x:f>
        <x:v>81.5</x:v>
      </x:c>
      <x:c r="E88" s="16" t="n">
        <x:f>IF($B88="REAL",SUMIFS(Carga_Reales!$D:$D,Carga_Reales!$A:$A,$A88,Carga_Reales!$B:$B,$C88),SUMIFS(Proyecciones!$D:$D,Proyecciones!$A:$A,$A88,Proyecciones!$B:$B,$C88))*IF($B88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88" s="16" t="n">
        <x:f>IF($B88="REAL",SUMIFS(Carga_Reales!$E:$E,Carga_Reales!$A:$A,$A88,Carga_Reales!$B:$B,$C88),SUMIFS(Proyecciones!$E:$E,Proyecciones!$A:$A,$A88,Proyecciones!$B:$B,$C88))*IF($B88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88" s="16" t="n">
        <x:f>IF($B88="REAL",SUMIFS(Carga_Reales!$F:$F,Carga_Reales!$A:$A,$A88,Carga_Reales!$B:$B,$C88),SUMIFS(Proyecciones!$F:$F,Proyecciones!$A:$A,$A88,Proyecciones!$B:$B,$C88))*IF($B88="REAL",1,IF(Resumen!$B$5="Conservador",Supuestos!$B$5,IF(Resumen!$B$5="Optimista",Supuestos!$B$7,Supuestos!$B$6)))</x:f>
        <x:v>18186725</x:v>
      </x:c>
      <x:c r="H88" s="16" t="n">
        <x:f>IF($B88="REAL",SUMIFS(Carga_Reales!$G:$G,Carga_Reales!$A:$A,$A88,Carga_Reales!$B:$B,$C88),SUMIFS(Proyecciones!$G:$G,Proyecciones!$A:$A,$A88,Proyecciones!$B:$B,$C88))*IF($B88="REAL",1,IF(Resumen!$B$5="Conservador",Supuestos!$B$5,IF(Resumen!$B$5="Optimista",Supuestos!$B$7,Supuestos!$B$6)))</x:f>
        <x:v>0</x:v>
      </x:c>
      <x:c r="I88" s="16" t="n">
        <x:f>IF($B88="REAL",SUMIFS(Carga_Reales!$H:$H,Carga_Reales!$A:$A,$A88,Carga_Reales!$B:$B,$C88),SUMIFS(Proyecciones!$H:$H,Proyecciones!$A:$A,$A88,Proyecciones!$B:$B,$C88))*IF($B88="REAL",1,IF(Resumen!$B$5="Conservador",Supuestos!$B$5,IF(Resumen!$B$5="Optimista",Supuestos!$B$7,Supuestos!$B$6)))</x:f>
        <x:v>0</x:v>
      </x:c>
      <x:c r="J88" s="16" t="n">
        <x:f>IF($B88="REAL",SUMIFS(Carga_Reales!$I:$I,Carga_Reales!$A:$A,$A88,Carga_Reales!$B:$B,$C88),SUMIFS(Proyecciones!$I:$I,Proyecciones!$A:$A,$A88,Proyecciones!$B:$B,$C88))*IF($B88="REAL",1,IF(Resumen!$B$5="Conservador",Supuestos!$B$5,IF(Resumen!$B$5="Optimista",Supuestos!$B$7,Supuestos!$B$6)))</x:f>
        <x:v>0</x:v>
      </x:c>
      <x:c r="K88" s="16" t="n">
        <x:f>IF($B88="REAL",SUMIFS(Carga_Reales!$J:$J,Carga_Reales!$A:$A,$A88,Carga_Reales!$B:$B,$C88),SUMIFS(Proyecciones!$J:$J,Proyecciones!$A:$A,$A88,Proyecciones!$B:$B,$C88))*IF($B88="REAL",1,IF(Resumen!$B$5="Conservador",Supuestos!$B$5,IF(Resumen!$B$5="Optimista",Supuestos!$B$7,Supuestos!$B$6)))</x:f>
        <x:v>0</x:v>
      </x:c>
      <x:c r="L88" s="16" t="n">
        <x:f>IF($B88="REAL",SUMIFS(Carga_Reales!$K:$K,Carga_Reales!$A:$A,$A88,Carga_Reales!$B:$B,$C88),SUMIFS(Proyecciones!$K:$K,Proyecciones!$A:$A,$A88,Proyecciones!$B:$B,$C88))*IF($B88="REAL",1,IF(Resumen!$B$5="Conservador",Supuestos!$E$5,IF(Resumen!$B$5="Optimista",Supuestos!$E$7,Supuestos!$E$6)))</x:f>
        <x:v>31865823.5635883</x:v>
      </x:c>
      <x:c r="M88" s="16" t="n">
        <x:f>IF($B88="REAL",SUMIFS(Carga_Reales!$L:$L,Carga_Reales!$A:$A,$A88,Carga_Reales!$B:$B,$C88),SUMIFS(Proyecciones!$L:$L,Proyecciones!$A:$A,$A88,Proyecciones!$B:$B,$C88))*IF($B88="REAL",1,IF(Resumen!$B$5="Conservador",Supuestos!$E$5,IF(Resumen!$B$5="Optimista",Supuestos!$E$7,Supuestos!$E$6)))</x:f>
        <x:v>44944000</x:v>
      </x:c>
      <x:c r="N88" s="16" t="n">
        <x:f>E88+G88+H88+I88+J88+K88</x:f>
        <x:v>587305055.5</x:v>
      </x:c>
      <x:c r="O88" s="16" t="n">
        <x:f>E88-F88+G88+H88+I88+J88+K88-L88-M88</x:f>
        <x:v>23842147.52586171</x:v>
      </x:c>
      <x:c r="P88" s="16" t="n">
        <x:f>O88-IF($B88="REAL",SUMIFS(Carga_Reales!$M:$M,Carga_Reales!$A:$A,$A88,Carga_Reales!$B:$B,$C88),SUMIFS(Proyecciones!$M:$M,Proyecciones!$A:$A,$A88,Proyecciones!$B:$B,$C88))-IF($B88="REAL",SUMIFS(Carga_Reales!$N:$N,Carga_Reales!$A:$A,$A88,Carga_Reales!$B:$B,$C88),SUMIFS(Proyecciones!$N:$N,Proyecciones!$A:$A,$A88,Proyecciones!$B:$B,$C88))</x:f>
        <x:v>14197395.891810112</x:v>
      </x:c>
      <x:c r="Q88" s="16" t="n">
        <x:f>IF($B88="REAL",SUMIFS(Carga_Reales!$O:$O,Carga_Reales!$A:$A,$A88,Carga_Reales!$B:$B,$C88),SUMIFS(Proyecciones!$O:$O,Proyecciones!$A:$A,$A88,Proyecciones!$B:$B,$C88))</x:f>
        <x:v>0</x:v>
      </x:c>
      <x:c r="R88" s="16" t="n">
        <x:f>O88-Q88</x:f>
        <x:v>23842147.52586171</x:v>
      </x:c>
      <x:c r="S88" s="16" t="n">
        <x:f>E88-F88</x:f>
        <x:v>82465246.08945</x:v>
      </x:c>
      <x:c r="T88" s="16" t="n">
        <x:f>L88+M88</x:f>
        <x:v>76809823.56358829</x:v>
      </x:c>
      <x:c r="U88" t="n">
        <x:f>IFERROR((L88+M88)/MAX(1,(S88+G88)/MAX(1,D88)),0)</x:f>
        <x:v>62.194515941164696</x:v>
      </x:c>
    </x:row>
    <x:row r="89">
      <x:c r="A89" s="26" t="n">
        <x:v>46874</x:v>
      </x:c>
      <x:c r="B89" t="str">
        <x:f>IF(EOMONTH($A89,0)&lt;=Resumen!$B$4,"REAL","PROYECTADO")</x:f>
        <x:v>PROYECTADO</x:v>
      </x:c>
      <x:c r="C89" t="str">
        <x:v>Moto para Todos</x:v>
      </x:c>
      <x:c r="D89" s="15" t="n">
        <x:f>IF($B89="REAL",SUMIFS(Carga_Reales!$C:$C,Carga_Reales!$A:$A,$A89,Carga_Reales!$B:$B,$C89),SUMIFS(Proyecciones!$C:$C,Proyecciones!$A:$A,$A89,Proyecciones!$B:$B,$C89))*IF($B89="REAL",1,IF(Resumen!$B$5="Conservador",Supuestos!$B$5,IF(Resumen!$B$5="Optimista",Supuestos!$B$7,Supuestos!$B$6)))</x:f>
        <x:v>205</x:v>
      </x:c>
      <x:c r="E89" s="16" t="n">
        <x:f>IF($B89="REAL",SUMIFS(Carga_Reales!$D:$D,Carga_Reales!$A:$A,$A89,Carga_Reales!$B:$B,$C89),SUMIFS(Proyecciones!$D:$D,Proyecciones!$A:$A,$A89,Proyecciones!$B:$B,$C89))*IF($B89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89" s="16" t="n">
        <x:f>IF($B89="REAL",SUMIFS(Carga_Reales!$E:$E,Carga_Reales!$A:$A,$A89,Carga_Reales!$B:$B,$C89),SUMIFS(Proyecciones!$E:$E,Proyecciones!$A:$A,$A89,Proyecciones!$B:$B,$C89))*IF($B89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89" s="16" t="n">
        <x:f>IF($B89="REAL",SUMIFS(Carga_Reales!$F:$F,Carga_Reales!$A:$A,$A89,Carga_Reales!$B:$B,$C89),SUMIFS(Proyecciones!$F:$F,Proyecciones!$A:$A,$A89,Proyecciones!$B:$B,$C89))*IF($B89="REAL",1,IF(Resumen!$B$5="Conservador",Supuestos!$B$5,IF(Resumen!$B$5="Optimista",Supuestos!$B$7,Supuestos!$B$6)))</x:f>
        <x:v>34850000</x:v>
      </x:c>
      <x:c r="H89" s="16" t="n">
        <x:f>IF($B89="REAL",SUMIFS(Carga_Reales!$G:$G,Carga_Reales!$A:$A,$A89,Carga_Reales!$B:$B,$C89),SUMIFS(Proyecciones!$G:$G,Proyecciones!$A:$A,$A89,Proyecciones!$B:$B,$C89))*IF($B89="REAL",1,IF(Resumen!$B$5="Conservador",Supuestos!$B$5,IF(Resumen!$B$5="Optimista",Supuestos!$B$7,Supuestos!$B$6)))</x:f>
        <x:v>0</x:v>
      </x:c>
      <x:c r="I89" s="16" t="n">
        <x:f>IF($B89="REAL",SUMIFS(Carga_Reales!$H:$H,Carga_Reales!$A:$A,$A89,Carga_Reales!$B:$B,$C89),SUMIFS(Proyecciones!$H:$H,Proyecciones!$A:$A,$A89,Proyecciones!$B:$B,$C89))*IF($B89="REAL",1,IF(Resumen!$B$5="Conservador",Supuestos!$B$5,IF(Resumen!$B$5="Optimista",Supuestos!$B$7,Supuestos!$B$6)))</x:f>
        <x:v>0</x:v>
      </x:c>
      <x:c r="J89" s="16" t="n">
        <x:f>IF($B89="REAL",SUMIFS(Carga_Reales!$I:$I,Carga_Reales!$A:$A,$A89,Carga_Reales!$B:$B,$C89),SUMIFS(Proyecciones!$I:$I,Proyecciones!$A:$A,$A89,Proyecciones!$B:$B,$C89))*IF($B89="REAL",1,IF(Resumen!$B$5="Conservador",Supuestos!$B$5,IF(Resumen!$B$5="Optimista",Supuestos!$B$7,Supuestos!$B$6)))</x:f>
        <x:v>0</x:v>
      </x:c>
      <x:c r="K89" s="16" t="n">
        <x:f>IF($B89="REAL",SUMIFS(Carga_Reales!$J:$J,Carga_Reales!$A:$A,$A89,Carga_Reales!$B:$B,$C89),SUMIFS(Proyecciones!$J:$J,Proyecciones!$A:$A,$A89,Proyecciones!$B:$B,$C89))*IF($B89="REAL",1,IF(Resumen!$B$5="Conservador",Supuestos!$B$5,IF(Resumen!$B$5="Optimista",Supuestos!$B$7,Supuestos!$B$6)))</x:f>
        <x:v>93263409.6977142</x:v>
      </x:c>
      <x:c r="L89" s="16" t="n">
        <x:f>IF($B89="REAL",SUMIFS(Carga_Reales!$K:$K,Carga_Reales!$A:$A,$A89,Carga_Reales!$B:$B,$C89),SUMIFS(Proyecciones!$K:$K,Proyecciones!$A:$A,$A89,Proyecciones!$B:$B,$C89))*IF($B89="REAL",1,IF(Resumen!$B$5="Conservador",Supuestos!$E$5,IF(Resumen!$B$5="Optimista",Supuestos!$E$7,Supuestos!$E$6)))</x:f>
        <x:v>90774371.830064</x:v>
      </x:c>
      <x:c r="M89" s="16" t="n">
        <x:f>IF($B89="REAL",SUMIFS(Carga_Reales!$L:$L,Carga_Reales!$A:$A,$A89,Carga_Reales!$B:$B,$C89),SUMIFS(Proyecciones!$L:$L,Proyecciones!$A:$A,$A89,Proyecciones!$B:$B,$C89))*IF($B89="REAL",1,IF(Resumen!$B$5="Conservador",Supuestos!$E$5,IF(Resumen!$B$5="Optimista",Supuestos!$E$7,Supuestos!$E$6)))</x:f>
        <x:v>54382240</x:v>
      </x:c>
      <x:c r="N89" s="16" t="n">
        <x:f>E89+G89+H89+I89+J89+K89</x:f>
        <x:v>1297016849.697714</x:v>
      </x:c>
      <x:c r="O89" s="16" t="n">
        <x:f>E89-F89+G89+H89+I89+J89+K89-L89-M89</x:f>
        <x:v>188566912.96365017</x:v>
      </x:c>
      <x:c r="P89" s="16" t="n">
        <x:f>O89-IF($B89="REAL",SUMIFS(Carga_Reales!$M:$M,Carga_Reales!$A:$A,$A89,Carga_Reales!$B:$B,$C89),SUMIFS(Proyecciones!$M:$M,Proyecciones!$A:$A,$A89,Proyecciones!$B:$B,$C89))-IF($B89="REAL",SUMIFS(Carga_Reales!$N:$N,Carga_Reales!$A:$A,$A89,Carga_Reales!$B:$B,$C89),SUMIFS(Proyecciones!$N:$N,Proyecciones!$A:$A,$A89,Proyecciones!$B:$B,$C89))</x:f>
        <x:v>119968493.42637256</x:v>
      </x:c>
      <x:c r="Q89" s="16" t="n">
        <x:f>IF($B89="REAL",SUMIFS(Carga_Reales!$O:$O,Carga_Reales!$A:$A,$A89,Carga_Reales!$B:$B,$C89),SUMIFS(Proyecciones!$O:$O,Proyecciones!$A:$A,$A89,Proyecciones!$B:$B,$C89))</x:f>
        <x:v>0</x:v>
      </x:c>
      <x:c r="R89" s="16" t="n">
        <x:f>O89-Q89</x:f>
        <x:v>188566912.96365017</x:v>
      </x:c>
      <x:c r="S89" s="16" t="n">
        <x:f>E89-F89</x:f>
        <x:v>205610115.09599996</x:v>
      </x:c>
      <x:c r="T89" s="16" t="n">
        <x:f>L89+M89</x:f>
        <x:v>145156611.830064</x:v>
      </x:c>
      <x:c r="U89" t="n">
        <x:f>IFERROR((L89+M89)/MAX(1,(S89+G89)/MAX(1,D89)),0)</x:f>
        <x:v>123.75069110019788</x:v>
      </x:c>
    </x:row>
    <x:row r="90">
      <x:c r="A90" s="26" t="n">
        <x:v>46874</x:v>
      </x:c>
      <x:c r="B90" t="str">
        <x:f>IF(EOMONTH($A90,0)&lt;=Resumen!$B$4,"REAL","PROYECTADO")</x:f>
        <x:v>PROYECTADO</x:v>
      </x:c>
      <x:c r="C90" t="str">
        <x:v>Verificarte</x:v>
      </x:c>
      <x:c r="D90" s="15" t="n">
        <x:f>IF($B90="REAL",SUMIFS(Carga_Reales!$C:$C,Carga_Reales!$A:$A,$A90,Carga_Reales!$B:$B,$C90),SUMIFS(Proyecciones!$C:$C,Proyecciones!$A:$A,$A90,Proyecciones!$B:$B,$C90))*IF($B90="REAL",1,IF(Resumen!$B$5="Conservador",Supuestos!$B$5,IF(Resumen!$B$5="Optimista",Supuestos!$B$7,Supuestos!$B$6)))</x:f>
        <x:v>213.5</x:v>
      </x:c>
      <x:c r="E90" s="16" t="n">
        <x:f>IF($B90="REAL",SUMIFS(Carga_Reales!$D:$D,Carga_Reales!$A:$A,$A90,Carga_Reales!$B:$B,$C90),SUMIFS(Proyecciones!$D:$D,Proyecciones!$A:$A,$A90,Proyecciones!$B:$B,$C90))*IF($B90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90" s="16" t="n">
        <x:f>IF($B90="REAL",SUMIFS(Carga_Reales!$E:$E,Carga_Reales!$A:$A,$A90,Carga_Reales!$B:$B,$C90),SUMIFS(Proyecciones!$E:$E,Proyecciones!$A:$A,$A90,Proyecciones!$B:$B,$C90))*IF($B90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90" s="16" t="n">
        <x:f>IF($B90="REAL",SUMIFS(Carga_Reales!$F:$F,Carga_Reales!$A:$A,$A90,Carga_Reales!$B:$B,$C90),SUMIFS(Proyecciones!$F:$F,Proyecciones!$A:$A,$A90,Proyecciones!$B:$B,$C90))*IF($B90="REAL",1,IF(Resumen!$B$5="Conservador",Supuestos!$B$5,IF(Resumen!$B$5="Optimista",Supuestos!$B$7,Supuestos!$B$6)))</x:f>
        <x:v>26858300</x:v>
      </x:c>
      <x:c r="H90" s="16" t="n">
        <x:f>IF($B90="REAL",SUMIFS(Carga_Reales!$G:$G,Carga_Reales!$A:$A,$A90,Carga_Reales!$B:$B,$C90),SUMIFS(Proyecciones!$G:$G,Proyecciones!$A:$A,$A90,Proyecciones!$B:$B,$C90))*IF($B90="REAL",1,IF(Resumen!$B$5="Conservador",Supuestos!$B$5,IF(Resumen!$B$5="Optimista",Supuestos!$B$7,Supuestos!$B$6)))</x:f>
        <x:v>0</x:v>
      </x:c>
      <x:c r="I90" s="16" t="n">
        <x:f>IF($B90="REAL",SUMIFS(Carga_Reales!$H:$H,Carga_Reales!$A:$A,$A90,Carga_Reales!$B:$B,$C90),SUMIFS(Proyecciones!$H:$H,Proyecciones!$A:$A,$A90,Proyecciones!$B:$B,$C90))*IF($B90="REAL",1,IF(Resumen!$B$5="Conservador",Supuestos!$B$5,IF(Resumen!$B$5="Optimista",Supuestos!$B$7,Supuestos!$B$6)))</x:f>
        <x:v>0</x:v>
      </x:c>
      <x:c r="J90" s="16" t="n">
        <x:f>IF($B90="REAL",SUMIFS(Carga_Reales!$I:$I,Carga_Reales!$A:$A,$A90,Carga_Reales!$B:$B,$C90),SUMIFS(Proyecciones!$I:$I,Proyecciones!$A:$A,$A90,Proyecciones!$B:$B,$C90))*IF($B90="REAL",1,IF(Resumen!$B$5="Conservador",Supuestos!$B$5,IF(Resumen!$B$5="Optimista",Supuestos!$B$7,Supuestos!$B$6)))</x:f>
        <x:v>0</x:v>
      </x:c>
      <x:c r="K90" s="16" t="n">
        <x:f>IF($B90="REAL",SUMIFS(Carga_Reales!$J:$J,Carga_Reales!$A:$A,$A90,Carga_Reales!$B:$B,$C90),SUMIFS(Proyecciones!$J:$J,Proyecciones!$A:$A,$A90,Proyecciones!$B:$B,$C90))*IF($B90="REAL",1,IF(Resumen!$B$5="Conservador",Supuestos!$B$5,IF(Resumen!$B$5="Optimista",Supuestos!$B$7,Supuestos!$B$6)))</x:f>
        <x:v>0</x:v>
      </x:c>
      <x:c r="L90" s="16" t="n">
        <x:f>IF($B90="REAL",SUMIFS(Carga_Reales!$K:$K,Carga_Reales!$A:$A,$A90,Carga_Reales!$B:$B,$C90),SUMIFS(Proyecciones!$K:$K,Proyecciones!$A:$A,$A90,Proyecciones!$B:$B,$C90))*IF($B90="REAL",1,IF(Resumen!$B$5="Conservador",Supuestos!$E$5,IF(Resumen!$B$5="Optimista",Supuestos!$E$7,Supuestos!$E$6)))</x:f>
        <x:v>73089161.6281478</x:v>
      </x:c>
      <x:c r="M90" s="16" t="n">
        <x:f>IF($B90="REAL",SUMIFS(Carga_Reales!$L:$L,Carga_Reales!$A:$A,$A90,Carga_Reales!$B:$B,$C90),SUMIFS(Proyecciones!$L:$L,Proyecciones!$A:$A,$A90,Proyecciones!$B:$B,$C90))*IF($B90="REAL",1,IF(Resumen!$B$5="Conservador",Supuestos!$E$5,IF(Resumen!$B$5="Optimista",Supuestos!$E$7,Supuestos!$E$6)))</x:f>
        <x:v>79775600</x:v>
      </x:c>
      <x:c r="N90" s="16" t="n">
        <x:f>E90+G90+H90+I90+J90+K90</x:f>
        <x:v>2018293000.5</x:v>
      </x:c>
      <x:c r="O90" s="16" t="n">
        <x:f>E90-F90+G90+H90+I90+J90+K90-L90-M90</x:f>
        <x:v>202580263.9543522</x:v>
      </x:c>
      <x:c r="P90" s="16" t="n">
        <x:f>O90-IF($B90="REAL",SUMIFS(Carga_Reales!$M:$M,Carga_Reales!$A:$A,$A90,Carga_Reales!$B:$B,$C90),SUMIFS(Proyecciones!$M:$M,Proyecciones!$A:$A,$A90,Proyecciones!$B:$B,$C90))-IF($B90="REAL",SUMIFS(Carga_Reales!$N:$N,Carga_Reales!$A:$A,$A90,Carga_Reales!$B:$B,$C90),SUMIFS(Proyecciones!$N:$N,Proyecciones!$A:$A,$A90,Proyecciones!$B:$B,$C90))</x:f>
        <x:v>129077171.5703288</x:v>
      </x:c>
      <x:c r="Q90" s="16" t="n">
        <x:f>IF($B90="REAL",SUMIFS(Carga_Reales!$O:$O,Carga_Reales!$A:$A,$A90,Carga_Reales!$B:$B,$C90),SUMIFS(Proyecciones!$O:$O,Proyecciones!$A:$A,$A90,Proyecciones!$B:$B,$C90))</x:f>
        <x:v>0</x:v>
      </x:c>
      <x:c r="R90" s="16" t="n">
        <x:f>O90-Q90</x:f>
        <x:v>202580263.9543522</x:v>
      </x:c>
      <x:c r="S90" s="16" t="n">
        <x:f>E90-F90</x:f>
        <x:v>328586725.5825</x:v>
      </x:c>
      <x:c r="T90" s="16" t="n">
        <x:f>L90+M90</x:f>
        <x:v>152864761.62814778</x:v>
      </x:c>
      <x:c r="U90" t="n">
        <x:f>IFERROR((L90+M90)/MAX(1,(S90+G90)/MAX(1,D90)),0)</x:f>
        <x:v>91.81905571508548</x:v>
      </x:c>
    </x:row>
    <x:row r="91">
      <x:c r="A91" s="26" t="n">
        <x:v>46874</x:v>
      </x:c>
      <x:c r="B91" t="str">
        <x:f>IF(EOMONTH($A91,0)&lt;=Resumen!$B$4,"REAL","PROYECTADO")</x:f>
        <x:v>PROYECTADO</x:v>
      </x:c>
      <x:c r="C91" t="str">
        <x:v>TuClick</x:v>
      </x:c>
      <x:c r="D91" s="15" t="n">
        <x:f>IF($B91="REAL",SUMIFS(Carga_Reales!$C:$C,Carga_Reales!$A:$A,$A91,Carga_Reales!$B:$B,$C91),SUMIFS(Proyecciones!$C:$C,Proyecciones!$A:$A,$A91,Proyecciones!$B:$B,$C91))*IF($B91="REAL",1,IF(Resumen!$B$5="Conservador",Supuestos!$B$5,IF(Resumen!$B$5="Optimista",Supuestos!$B$7,Supuestos!$B$6)))</x:f>
        <x:v>81.5</x:v>
      </x:c>
      <x:c r="E91" s="16" t="n">
        <x:f>IF($B91="REAL",SUMIFS(Carga_Reales!$D:$D,Carga_Reales!$A:$A,$A91,Carga_Reales!$B:$B,$C91),SUMIFS(Proyecciones!$D:$D,Proyecciones!$A:$A,$A91,Proyecciones!$B:$B,$C91))*IF($B91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91" s="16" t="n">
        <x:f>IF($B91="REAL",SUMIFS(Carga_Reales!$E:$E,Carga_Reales!$A:$A,$A91,Carga_Reales!$B:$B,$C91),SUMIFS(Proyecciones!$E:$E,Proyecciones!$A:$A,$A91,Proyecciones!$B:$B,$C91))*IF($B91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91" s="16" t="n">
        <x:f>IF($B91="REAL",SUMIFS(Carga_Reales!$F:$F,Carga_Reales!$A:$A,$A91,Carga_Reales!$B:$B,$C91),SUMIFS(Proyecciones!$F:$F,Proyecciones!$A:$A,$A91,Proyecciones!$B:$B,$C91))*IF($B91="REAL",1,IF(Resumen!$B$5="Conservador",Supuestos!$B$5,IF(Resumen!$B$5="Optimista",Supuestos!$B$7,Supuestos!$B$6)))</x:f>
        <x:v>18186725</x:v>
      </x:c>
      <x:c r="H91" s="16" t="n">
        <x:f>IF($B91="REAL",SUMIFS(Carga_Reales!$G:$G,Carga_Reales!$A:$A,$A91,Carga_Reales!$B:$B,$C91),SUMIFS(Proyecciones!$G:$G,Proyecciones!$A:$A,$A91,Proyecciones!$B:$B,$C91))*IF($B91="REAL",1,IF(Resumen!$B$5="Conservador",Supuestos!$B$5,IF(Resumen!$B$5="Optimista",Supuestos!$B$7,Supuestos!$B$6)))</x:f>
        <x:v>0</x:v>
      </x:c>
      <x:c r="I91" s="16" t="n">
        <x:f>IF($B91="REAL",SUMIFS(Carga_Reales!$H:$H,Carga_Reales!$A:$A,$A91,Carga_Reales!$B:$B,$C91),SUMIFS(Proyecciones!$H:$H,Proyecciones!$A:$A,$A91,Proyecciones!$B:$B,$C91))*IF($B91="REAL",1,IF(Resumen!$B$5="Conservador",Supuestos!$B$5,IF(Resumen!$B$5="Optimista",Supuestos!$B$7,Supuestos!$B$6)))</x:f>
        <x:v>0</x:v>
      </x:c>
      <x:c r="J91" s="16" t="n">
        <x:f>IF($B91="REAL",SUMIFS(Carga_Reales!$I:$I,Carga_Reales!$A:$A,$A91,Carga_Reales!$B:$B,$C91),SUMIFS(Proyecciones!$I:$I,Proyecciones!$A:$A,$A91,Proyecciones!$B:$B,$C91))*IF($B91="REAL",1,IF(Resumen!$B$5="Conservador",Supuestos!$B$5,IF(Resumen!$B$5="Optimista",Supuestos!$B$7,Supuestos!$B$6)))</x:f>
        <x:v>0</x:v>
      </x:c>
      <x:c r="K91" s="16" t="n">
        <x:f>IF($B91="REAL",SUMIFS(Carga_Reales!$J:$J,Carga_Reales!$A:$A,$A91,Carga_Reales!$B:$B,$C91),SUMIFS(Proyecciones!$J:$J,Proyecciones!$A:$A,$A91,Proyecciones!$B:$B,$C91))*IF($B91="REAL",1,IF(Resumen!$B$5="Conservador",Supuestos!$B$5,IF(Resumen!$B$5="Optimista",Supuestos!$B$7,Supuestos!$B$6)))</x:f>
        <x:v>0</x:v>
      </x:c>
      <x:c r="L91" s="16" t="n">
        <x:f>IF($B91="REAL",SUMIFS(Carga_Reales!$K:$K,Carga_Reales!$A:$A,$A91,Carga_Reales!$B:$B,$C91),SUMIFS(Proyecciones!$K:$K,Proyecciones!$A:$A,$A91,Proyecciones!$B:$B,$C91))*IF($B91="REAL",1,IF(Resumen!$B$5="Conservador",Supuestos!$E$5,IF(Resumen!$B$5="Optimista",Supuestos!$E$7,Supuestos!$E$6)))</x:f>
        <x:v>31865823.5635883</x:v>
      </x:c>
      <x:c r="M91" s="16" t="n">
        <x:f>IF($B91="REAL",SUMIFS(Carga_Reales!$L:$L,Carga_Reales!$A:$A,$A91,Carga_Reales!$B:$B,$C91),SUMIFS(Proyecciones!$L:$L,Proyecciones!$A:$A,$A91,Proyecciones!$B:$B,$C91))*IF($B91="REAL",1,IF(Resumen!$B$5="Conservador",Supuestos!$E$5,IF(Resumen!$B$5="Optimista",Supuestos!$E$7,Supuestos!$E$6)))</x:f>
        <x:v>44944000</x:v>
      </x:c>
      <x:c r="N91" s="16" t="n">
        <x:f>E91+G91+H91+I91+J91+K91</x:f>
        <x:v>587305055.5</x:v>
      </x:c>
      <x:c r="O91" s="16" t="n">
        <x:f>E91-F91+G91+H91+I91+J91+K91-L91-M91</x:f>
        <x:v>23842147.52586171</x:v>
      </x:c>
      <x:c r="P91" s="16" t="n">
        <x:f>O91-IF($B91="REAL",SUMIFS(Carga_Reales!$M:$M,Carga_Reales!$A:$A,$A91,Carga_Reales!$B:$B,$C91),SUMIFS(Proyecciones!$M:$M,Proyecciones!$A:$A,$A91,Proyecciones!$B:$B,$C91))-IF($B91="REAL",SUMIFS(Carga_Reales!$N:$N,Carga_Reales!$A:$A,$A91,Carga_Reales!$B:$B,$C91),SUMIFS(Proyecciones!$N:$N,Proyecciones!$A:$A,$A91,Proyecciones!$B:$B,$C91))</x:f>
        <x:v>14197395.891810112</x:v>
      </x:c>
      <x:c r="Q91" s="16" t="n">
        <x:f>IF($B91="REAL",SUMIFS(Carga_Reales!$O:$O,Carga_Reales!$A:$A,$A91,Carga_Reales!$B:$B,$C91),SUMIFS(Proyecciones!$O:$O,Proyecciones!$A:$A,$A91,Proyecciones!$B:$B,$C91))</x:f>
        <x:v>0</x:v>
      </x:c>
      <x:c r="R91" s="16" t="n">
        <x:f>O91-Q91</x:f>
        <x:v>23842147.52586171</x:v>
      </x:c>
      <x:c r="S91" s="16" t="n">
        <x:f>E91-F91</x:f>
        <x:v>82465246.08945</x:v>
      </x:c>
      <x:c r="T91" s="16" t="n">
        <x:f>L91+M91</x:f>
        <x:v>76809823.56358829</x:v>
      </x:c>
      <x:c r="U91" t="n">
        <x:f>IFERROR((L91+M91)/MAX(1,(S91+G91)/MAX(1,D91)),0)</x:f>
        <x:v>62.194515941164696</x:v>
      </x:c>
    </x:row>
    <x:row r="92">
      <x:c r="A92" s="26" t="n">
        <x:v>46905</x:v>
      </x:c>
      <x:c r="B92" t="str">
        <x:f>IF(EOMONTH($A92,0)&lt;=Resumen!$B$4,"REAL","PROYECTADO")</x:f>
        <x:v>PROYECTADO</x:v>
      </x:c>
      <x:c r="C92" t="str">
        <x:v>Moto para Todos</x:v>
      </x:c>
      <x:c r="D92" s="15" t="n">
        <x:f>IF($B92="REAL",SUMIFS(Carga_Reales!$C:$C,Carga_Reales!$A:$A,$A92,Carga_Reales!$B:$B,$C92),SUMIFS(Proyecciones!$C:$C,Proyecciones!$A:$A,$A92,Proyecciones!$B:$B,$C92))*IF($B92="REAL",1,IF(Resumen!$B$5="Conservador",Supuestos!$B$5,IF(Resumen!$B$5="Optimista",Supuestos!$B$7,Supuestos!$B$6)))</x:f>
        <x:v>205</x:v>
      </x:c>
      <x:c r="E92" s="16" t="n">
        <x:f>IF($B92="REAL",SUMIFS(Carga_Reales!$D:$D,Carga_Reales!$A:$A,$A92,Carga_Reales!$B:$B,$C92),SUMIFS(Proyecciones!$D:$D,Proyecciones!$A:$A,$A92,Proyecciones!$B:$B,$C92))*IF($B92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92" s="16" t="n">
        <x:f>IF($B92="REAL",SUMIFS(Carga_Reales!$E:$E,Carga_Reales!$A:$A,$A92,Carga_Reales!$B:$B,$C92),SUMIFS(Proyecciones!$E:$E,Proyecciones!$A:$A,$A92,Proyecciones!$B:$B,$C92))*IF($B92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92" s="16" t="n">
        <x:f>IF($B92="REAL",SUMIFS(Carga_Reales!$F:$F,Carga_Reales!$A:$A,$A92,Carga_Reales!$B:$B,$C92),SUMIFS(Proyecciones!$F:$F,Proyecciones!$A:$A,$A92,Proyecciones!$B:$B,$C92))*IF($B92="REAL",1,IF(Resumen!$B$5="Conservador",Supuestos!$B$5,IF(Resumen!$B$5="Optimista",Supuestos!$B$7,Supuestos!$B$6)))</x:f>
        <x:v>34850000</x:v>
      </x:c>
      <x:c r="H92" s="16" t="n">
        <x:f>IF($B92="REAL",SUMIFS(Carga_Reales!$G:$G,Carga_Reales!$A:$A,$A92,Carga_Reales!$B:$B,$C92),SUMIFS(Proyecciones!$G:$G,Proyecciones!$A:$A,$A92,Proyecciones!$B:$B,$C92))*IF($B92="REAL",1,IF(Resumen!$B$5="Conservador",Supuestos!$B$5,IF(Resumen!$B$5="Optimista",Supuestos!$B$7,Supuestos!$B$6)))</x:f>
        <x:v>0</x:v>
      </x:c>
      <x:c r="I92" s="16" t="n">
        <x:f>IF($B92="REAL",SUMIFS(Carga_Reales!$H:$H,Carga_Reales!$A:$A,$A92,Carga_Reales!$B:$B,$C92),SUMIFS(Proyecciones!$H:$H,Proyecciones!$A:$A,$A92,Proyecciones!$B:$B,$C92))*IF($B92="REAL",1,IF(Resumen!$B$5="Conservador",Supuestos!$B$5,IF(Resumen!$B$5="Optimista",Supuestos!$B$7,Supuestos!$B$6)))</x:f>
        <x:v>0</x:v>
      </x:c>
      <x:c r="J92" s="16" t="n">
        <x:f>IF($B92="REAL",SUMIFS(Carga_Reales!$I:$I,Carga_Reales!$A:$A,$A92,Carga_Reales!$B:$B,$C92),SUMIFS(Proyecciones!$I:$I,Proyecciones!$A:$A,$A92,Proyecciones!$B:$B,$C92))*IF($B92="REAL",1,IF(Resumen!$B$5="Conservador",Supuestos!$B$5,IF(Resumen!$B$5="Optimista",Supuestos!$B$7,Supuestos!$B$6)))</x:f>
        <x:v>0</x:v>
      </x:c>
      <x:c r="K92" s="16" t="n">
        <x:f>IF($B92="REAL",SUMIFS(Carga_Reales!$J:$J,Carga_Reales!$A:$A,$A92,Carga_Reales!$B:$B,$C92),SUMIFS(Proyecciones!$J:$J,Proyecciones!$A:$A,$A92,Proyecciones!$B:$B,$C92))*IF($B92="REAL",1,IF(Resumen!$B$5="Conservador",Supuestos!$B$5,IF(Resumen!$B$5="Optimista",Supuestos!$B$7,Supuestos!$B$6)))</x:f>
        <x:v>96472434.2936428</x:v>
      </x:c>
      <x:c r="L92" s="16" t="n">
        <x:f>IF($B92="REAL",SUMIFS(Carga_Reales!$K:$K,Carga_Reales!$A:$A,$A92,Carga_Reales!$B:$B,$C92),SUMIFS(Proyecciones!$K:$K,Proyecciones!$A:$A,$A92,Proyecciones!$B:$B,$C92))*IF($B92="REAL",1,IF(Resumen!$B$5="Conservador",Supuestos!$E$5,IF(Resumen!$B$5="Optimista",Supuestos!$E$7,Supuestos!$E$6)))</x:f>
        <x:v>90774371.830064</x:v>
      </x:c>
      <x:c r="M92" s="16" t="n">
        <x:f>IF($B92="REAL",SUMIFS(Carga_Reales!$L:$L,Carga_Reales!$A:$A,$A92,Carga_Reales!$B:$B,$C92),SUMIFS(Proyecciones!$L:$L,Proyecciones!$A:$A,$A92,Proyecciones!$B:$B,$C92))*IF($B92="REAL",1,IF(Resumen!$B$5="Conservador",Supuestos!$E$5,IF(Resumen!$B$5="Optimista",Supuestos!$E$7,Supuestos!$E$6)))</x:f>
        <x:v>54382240</x:v>
      </x:c>
      <x:c r="N92" s="16" t="n">
        <x:f>E92+G92+H92+I92+J92+K92</x:f>
        <x:v>1300225874.2936428</x:v>
      </x:c>
      <x:c r="O92" s="16" t="n">
        <x:f>E92-F92+G92+H92+I92+J92+K92-L92-M92</x:f>
        <x:v>191775937.55957878</x:v>
      </x:c>
      <x:c r="P92" s="16" t="n">
        <x:f>O92-IF($B92="REAL",SUMIFS(Carga_Reales!$M:$M,Carga_Reales!$A:$A,$A92,Carga_Reales!$B:$B,$C92),SUMIFS(Proyecciones!$M:$M,Proyecciones!$A:$A,$A92,Proyecciones!$B:$B,$C92))-IF($B92="REAL",SUMIFS(Carga_Reales!$N:$N,Carga_Reales!$A:$A,$A92,Carga_Reales!$B:$B,$C92),SUMIFS(Proyecciones!$N:$N,Proyecciones!$A:$A,$A92,Proyecciones!$B:$B,$C92))</x:f>
        <x:v>122054359.41372627</x:v>
      </x:c>
      <x:c r="Q92" s="16" t="n">
        <x:f>IF($B92="REAL",SUMIFS(Carga_Reales!$O:$O,Carga_Reales!$A:$A,$A92,Carga_Reales!$B:$B,$C92),SUMIFS(Proyecciones!$O:$O,Proyecciones!$A:$A,$A92,Proyecciones!$B:$B,$C92))</x:f>
        <x:v>0</x:v>
      </x:c>
      <x:c r="R92" s="16" t="n">
        <x:f>O92-Q92</x:f>
        <x:v>191775937.55957878</x:v>
      </x:c>
      <x:c r="S92" s="16" t="n">
        <x:f>E92-F92</x:f>
        <x:v>205610115.09599996</x:v>
      </x:c>
      <x:c r="T92" s="16" t="n">
        <x:f>L92+M92</x:f>
        <x:v>145156611.830064</x:v>
      </x:c>
      <x:c r="U92" t="n">
        <x:f>IFERROR((L92+M92)/MAX(1,(S92+G92)/MAX(1,D92)),0)</x:f>
        <x:v>123.75069110019788</x:v>
      </x:c>
    </x:row>
    <x:row r="93">
      <x:c r="A93" s="26" t="n">
        <x:v>46905</x:v>
      </x:c>
      <x:c r="B93" t="str">
        <x:f>IF(EOMONTH($A93,0)&lt;=Resumen!$B$4,"REAL","PROYECTADO")</x:f>
        <x:v>PROYECTADO</x:v>
      </x:c>
      <x:c r="C93" t="str">
        <x:v>Verificarte</x:v>
      </x:c>
      <x:c r="D93" s="15" t="n">
        <x:f>IF($B93="REAL",SUMIFS(Carga_Reales!$C:$C,Carga_Reales!$A:$A,$A93,Carga_Reales!$B:$B,$C93),SUMIFS(Proyecciones!$C:$C,Proyecciones!$A:$A,$A93,Proyecciones!$B:$B,$C93))*IF($B93="REAL",1,IF(Resumen!$B$5="Conservador",Supuestos!$B$5,IF(Resumen!$B$5="Optimista",Supuestos!$B$7,Supuestos!$B$6)))</x:f>
        <x:v>213.5</x:v>
      </x:c>
      <x:c r="E93" s="16" t="n">
        <x:f>IF($B93="REAL",SUMIFS(Carga_Reales!$D:$D,Carga_Reales!$A:$A,$A93,Carga_Reales!$B:$B,$C93),SUMIFS(Proyecciones!$D:$D,Proyecciones!$A:$A,$A93,Proyecciones!$B:$B,$C93))*IF($B93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93" s="16" t="n">
        <x:f>IF($B93="REAL",SUMIFS(Carga_Reales!$E:$E,Carga_Reales!$A:$A,$A93,Carga_Reales!$B:$B,$C93),SUMIFS(Proyecciones!$E:$E,Proyecciones!$A:$A,$A93,Proyecciones!$B:$B,$C93))*IF($B93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93" s="16" t="n">
        <x:f>IF($B93="REAL",SUMIFS(Carga_Reales!$F:$F,Carga_Reales!$A:$A,$A93,Carga_Reales!$B:$B,$C93),SUMIFS(Proyecciones!$F:$F,Proyecciones!$A:$A,$A93,Proyecciones!$B:$B,$C93))*IF($B93="REAL",1,IF(Resumen!$B$5="Conservador",Supuestos!$B$5,IF(Resumen!$B$5="Optimista",Supuestos!$B$7,Supuestos!$B$6)))</x:f>
        <x:v>26858300</x:v>
      </x:c>
      <x:c r="H93" s="16" t="n">
        <x:f>IF($B93="REAL",SUMIFS(Carga_Reales!$G:$G,Carga_Reales!$A:$A,$A93,Carga_Reales!$B:$B,$C93),SUMIFS(Proyecciones!$G:$G,Proyecciones!$A:$A,$A93,Proyecciones!$B:$B,$C93))*IF($B93="REAL",1,IF(Resumen!$B$5="Conservador",Supuestos!$B$5,IF(Resumen!$B$5="Optimista",Supuestos!$B$7,Supuestos!$B$6)))</x:f>
        <x:v>0</x:v>
      </x:c>
      <x:c r="I93" s="16" t="n">
        <x:f>IF($B93="REAL",SUMIFS(Carga_Reales!$H:$H,Carga_Reales!$A:$A,$A93,Carga_Reales!$B:$B,$C93),SUMIFS(Proyecciones!$H:$H,Proyecciones!$A:$A,$A93,Proyecciones!$B:$B,$C93))*IF($B93="REAL",1,IF(Resumen!$B$5="Conservador",Supuestos!$B$5,IF(Resumen!$B$5="Optimista",Supuestos!$B$7,Supuestos!$B$6)))</x:f>
        <x:v>0</x:v>
      </x:c>
      <x:c r="J93" s="16" t="n">
        <x:f>IF($B93="REAL",SUMIFS(Carga_Reales!$I:$I,Carga_Reales!$A:$A,$A93,Carga_Reales!$B:$B,$C93),SUMIFS(Proyecciones!$I:$I,Proyecciones!$A:$A,$A93,Proyecciones!$B:$B,$C93))*IF($B93="REAL",1,IF(Resumen!$B$5="Conservador",Supuestos!$B$5,IF(Resumen!$B$5="Optimista",Supuestos!$B$7,Supuestos!$B$6)))</x:f>
        <x:v>0</x:v>
      </x:c>
      <x:c r="K93" s="16" t="n">
        <x:f>IF($B93="REAL",SUMIFS(Carga_Reales!$J:$J,Carga_Reales!$A:$A,$A93,Carga_Reales!$B:$B,$C93),SUMIFS(Proyecciones!$J:$J,Proyecciones!$A:$A,$A93,Proyecciones!$B:$B,$C93))*IF($B93="REAL",1,IF(Resumen!$B$5="Conservador",Supuestos!$B$5,IF(Resumen!$B$5="Optimista",Supuestos!$B$7,Supuestos!$B$6)))</x:f>
        <x:v>0</x:v>
      </x:c>
      <x:c r="L93" s="16" t="n">
        <x:f>IF($B93="REAL",SUMIFS(Carga_Reales!$K:$K,Carga_Reales!$A:$A,$A93,Carga_Reales!$B:$B,$C93),SUMIFS(Proyecciones!$K:$K,Proyecciones!$A:$A,$A93,Proyecciones!$B:$B,$C93))*IF($B93="REAL",1,IF(Resumen!$B$5="Conservador",Supuestos!$E$5,IF(Resumen!$B$5="Optimista",Supuestos!$E$7,Supuestos!$E$6)))</x:f>
        <x:v>73089161.6281478</x:v>
      </x:c>
      <x:c r="M93" s="16" t="n">
        <x:f>IF($B93="REAL",SUMIFS(Carga_Reales!$L:$L,Carga_Reales!$A:$A,$A93,Carga_Reales!$B:$B,$C93),SUMIFS(Proyecciones!$L:$L,Proyecciones!$A:$A,$A93,Proyecciones!$B:$B,$C93))*IF($B93="REAL",1,IF(Resumen!$B$5="Conservador",Supuestos!$E$5,IF(Resumen!$B$5="Optimista",Supuestos!$E$7,Supuestos!$E$6)))</x:f>
        <x:v>79775600</x:v>
      </x:c>
      <x:c r="N93" s="16" t="n">
        <x:f>E93+G93+H93+I93+J93+K93</x:f>
        <x:v>2018293000.5</x:v>
      </x:c>
      <x:c r="O93" s="16" t="n">
        <x:f>E93-F93+G93+H93+I93+J93+K93-L93-M93</x:f>
        <x:v>202580263.9543522</x:v>
      </x:c>
      <x:c r="P93" s="16" t="n">
        <x:f>O93-IF($B93="REAL",SUMIFS(Carga_Reales!$M:$M,Carga_Reales!$A:$A,$A93,Carga_Reales!$B:$B,$C93),SUMIFS(Proyecciones!$M:$M,Proyecciones!$A:$A,$A93,Proyecciones!$B:$B,$C93))-IF($B93="REAL",SUMIFS(Carga_Reales!$N:$N,Carga_Reales!$A:$A,$A93,Carga_Reales!$B:$B,$C93),SUMIFS(Proyecciones!$N:$N,Proyecciones!$A:$A,$A93,Proyecciones!$B:$B,$C93))</x:f>
        <x:v>129077171.5703288</x:v>
      </x:c>
      <x:c r="Q93" s="16" t="n">
        <x:f>IF($B93="REAL",SUMIFS(Carga_Reales!$O:$O,Carga_Reales!$A:$A,$A93,Carga_Reales!$B:$B,$C93),SUMIFS(Proyecciones!$O:$O,Proyecciones!$A:$A,$A93,Proyecciones!$B:$B,$C93))</x:f>
        <x:v>0</x:v>
      </x:c>
      <x:c r="R93" s="16" t="n">
        <x:f>O93-Q93</x:f>
        <x:v>202580263.9543522</x:v>
      </x:c>
      <x:c r="S93" s="16" t="n">
        <x:f>E93-F93</x:f>
        <x:v>328586725.5825</x:v>
      </x:c>
      <x:c r="T93" s="16" t="n">
        <x:f>L93+M93</x:f>
        <x:v>152864761.62814778</x:v>
      </x:c>
      <x:c r="U93" t="n">
        <x:f>IFERROR((L93+M93)/MAX(1,(S93+G93)/MAX(1,D93)),0)</x:f>
        <x:v>91.81905571508548</x:v>
      </x:c>
    </x:row>
    <x:row r="94">
      <x:c r="A94" s="26" t="n">
        <x:v>46905</x:v>
      </x:c>
      <x:c r="B94" t="str">
        <x:f>IF(EOMONTH($A94,0)&lt;=Resumen!$B$4,"REAL","PROYECTADO")</x:f>
        <x:v>PROYECTADO</x:v>
      </x:c>
      <x:c r="C94" t="str">
        <x:v>TuClick</x:v>
      </x:c>
      <x:c r="D94" s="15" t="n">
        <x:f>IF($B94="REAL",SUMIFS(Carga_Reales!$C:$C,Carga_Reales!$A:$A,$A94,Carga_Reales!$B:$B,$C94),SUMIFS(Proyecciones!$C:$C,Proyecciones!$A:$A,$A94,Proyecciones!$B:$B,$C94))*IF($B94="REAL",1,IF(Resumen!$B$5="Conservador",Supuestos!$B$5,IF(Resumen!$B$5="Optimista",Supuestos!$B$7,Supuestos!$B$6)))</x:f>
        <x:v>81.5</x:v>
      </x:c>
      <x:c r="E94" s="16" t="n">
        <x:f>IF($B94="REAL",SUMIFS(Carga_Reales!$D:$D,Carga_Reales!$A:$A,$A94,Carga_Reales!$B:$B,$C94),SUMIFS(Proyecciones!$D:$D,Proyecciones!$A:$A,$A94,Proyecciones!$B:$B,$C94))*IF($B94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94" s="16" t="n">
        <x:f>IF($B94="REAL",SUMIFS(Carga_Reales!$E:$E,Carga_Reales!$A:$A,$A94,Carga_Reales!$B:$B,$C94),SUMIFS(Proyecciones!$E:$E,Proyecciones!$A:$A,$A94,Proyecciones!$B:$B,$C94))*IF($B94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94" s="16" t="n">
        <x:f>IF($B94="REAL",SUMIFS(Carga_Reales!$F:$F,Carga_Reales!$A:$A,$A94,Carga_Reales!$B:$B,$C94),SUMIFS(Proyecciones!$F:$F,Proyecciones!$A:$A,$A94,Proyecciones!$B:$B,$C94))*IF($B94="REAL",1,IF(Resumen!$B$5="Conservador",Supuestos!$B$5,IF(Resumen!$B$5="Optimista",Supuestos!$B$7,Supuestos!$B$6)))</x:f>
        <x:v>18186725</x:v>
      </x:c>
      <x:c r="H94" s="16" t="n">
        <x:f>IF($B94="REAL",SUMIFS(Carga_Reales!$G:$G,Carga_Reales!$A:$A,$A94,Carga_Reales!$B:$B,$C94),SUMIFS(Proyecciones!$G:$G,Proyecciones!$A:$A,$A94,Proyecciones!$B:$B,$C94))*IF($B94="REAL",1,IF(Resumen!$B$5="Conservador",Supuestos!$B$5,IF(Resumen!$B$5="Optimista",Supuestos!$B$7,Supuestos!$B$6)))</x:f>
        <x:v>0</x:v>
      </x:c>
      <x:c r="I94" s="16" t="n">
        <x:f>IF($B94="REAL",SUMIFS(Carga_Reales!$H:$H,Carga_Reales!$A:$A,$A94,Carga_Reales!$B:$B,$C94),SUMIFS(Proyecciones!$H:$H,Proyecciones!$A:$A,$A94,Proyecciones!$B:$B,$C94))*IF($B94="REAL",1,IF(Resumen!$B$5="Conservador",Supuestos!$B$5,IF(Resumen!$B$5="Optimista",Supuestos!$B$7,Supuestos!$B$6)))</x:f>
        <x:v>0</x:v>
      </x:c>
      <x:c r="J94" s="16" t="n">
        <x:f>IF($B94="REAL",SUMIFS(Carga_Reales!$I:$I,Carga_Reales!$A:$A,$A94,Carga_Reales!$B:$B,$C94),SUMIFS(Proyecciones!$I:$I,Proyecciones!$A:$A,$A94,Proyecciones!$B:$B,$C94))*IF($B94="REAL",1,IF(Resumen!$B$5="Conservador",Supuestos!$B$5,IF(Resumen!$B$5="Optimista",Supuestos!$B$7,Supuestos!$B$6)))</x:f>
        <x:v>0</x:v>
      </x:c>
      <x:c r="K94" s="16" t="n">
        <x:f>IF($B94="REAL",SUMIFS(Carga_Reales!$J:$J,Carga_Reales!$A:$A,$A94,Carga_Reales!$B:$B,$C94),SUMIFS(Proyecciones!$J:$J,Proyecciones!$A:$A,$A94,Proyecciones!$B:$B,$C94))*IF($B94="REAL",1,IF(Resumen!$B$5="Conservador",Supuestos!$B$5,IF(Resumen!$B$5="Optimista",Supuestos!$B$7,Supuestos!$B$6)))</x:f>
        <x:v>0</x:v>
      </x:c>
      <x:c r="L94" s="16" t="n">
        <x:f>IF($B94="REAL",SUMIFS(Carga_Reales!$K:$K,Carga_Reales!$A:$A,$A94,Carga_Reales!$B:$B,$C94),SUMIFS(Proyecciones!$K:$K,Proyecciones!$A:$A,$A94,Proyecciones!$B:$B,$C94))*IF($B94="REAL",1,IF(Resumen!$B$5="Conservador",Supuestos!$E$5,IF(Resumen!$B$5="Optimista",Supuestos!$E$7,Supuestos!$E$6)))</x:f>
        <x:v>31865823.5635883</x:v>
      </x:c>
      <x:c r="M94" s="16" t="n">
        <x:f>IF($B94="REAL",SUMIFS(Carga_Reales!$L:$L,Carga_Reales!$A:$A,$A94,Carga_Reales!$B:$B,$C94),SUMIFS(Proyecciones!$L:$L,Proyecciones!$A:$A,$A94,Proyecciones!$B:$B,$C94))*IF($B94="REAL",1,IF(Resumen!$B$5="Conservador",Supuestos!$E$5,IF(Resumen!$B$5="Optimista",Supuestos!$E$7,Supuestos!$E$6)))</x:f>
        <x:v>44944000</x:v>
      </x:c>
      <x:c r="N94" s="16" t="n">
        <x:f>E94+G94+H94+I94+J94+K94</x:f>
        <x:v>587305055.5</x:v>
      </x:c>
      <x:c r="O94" s="16" t="n">
        <x:f>E94-F94+G94+H94+I94+J94+K94-L94-M94</x:f>
        <x:v>23842147.52586171</x:v>
      </x:c>
      <x:c r="P94" s="16" t="n">
        <x:f>O94-IF($B94="REAL",SUMIFS(Carga_Reales!$M:$M,Carga_Reales!$A:$A,$A94,Carga_Reales!$B:$B,$C94),SUMIFS(Proyecciones!$M:$M,Proyecciones!$A:$A,$A94,Proyecciones!$B:$B,$C94))-IF($B94="REAL",SUMIFS(Carga_Reales!$N:$N,Carga_Reales!$A:$A,$A94,Carga_Reales!$B:$B,$C94),SUMIFS(Proyecciones!$N:$N,Proyecciones!$A:$A,$A94,Proyecciones!$B:$B,$C94))</x:f>
        <x:v>14197395.891810112</x:v>
      </x:c>
      <x:c r="Q94" s="16" t="n">
        <x:f>IF($B94="REAL",SUMIFS(Carga_Reales!$O:$O,Carga_Reales!$A:$A,$A94,Carga_Reales!$B:$B,$C94),SUMIFS(Proyecciones!$O:$O,Proyecciones!$A:$A,$A94,Proyecciones!$B:$B,$C94))</x:f>
        <x:v>0</x:v>
      </x:c>
      <x:c r="R94" s="16" t="n">
        <x:f>O94-Q94</x:f>
        <x:v>23842147.52586171</x:v>
      </x:c>
      <x:c r="S94" s="16" t="n">
        <x:f>E94-F94</x:f>
        <x:v>82465246.08945</x:v>
      </x:c>
      <x:c r="T94" s="16" t="n">
        <x:f>L94+M94</x:f>
        <x:v>76809823.56358829</x:v>
      </x:c>
      <x:c r="U94" t="n">
        <x:f>IFERROR((L94+M94)/MAX(1,(S94+G94)/MAX(1,D94)),0)</x:f>
        <x:v>62.194515941164696</x:v>
      </x:c>
    </x:row>
    <x:row r="95">
      <x:c r="A95" s="26" t="n">
        <x:v>46935</x:v>
      </x:c>
      <x:c r="B95" t="str">
        <x:f>IF(EOMONTH($A95,0)&lt;=Resumen!$B$4,"REAL","PROYECTADO")</x:f>
        <x:v>PROYECTADO</x:v>
      </x:c>
      <x:c r="C95" t="str">
        <x:v>Moto para Todos</x:v>
      </x:c>
      <x:c r="D95" s="15" t="n">
        <x:f>IF($B95="REAL",SUMIFS(Carga_Reales!$C:$C,Carga_Reales!$A:$A,$A95,Carga_Reales!$B:$B,$C95),SUMIFS(Proyecciones!$C:$C,Proyecciones!$A:$A,$A95,Proyecciones!$B:$B,$C95))*IF($B95="REAL",1,IF(Resumen!$B$5="Conservador",Supuestos!$B$5,IF(Resumen!$B$5="Optimista",Supuestos!$B$7,Supuestos!$B$6)))</x:f>
        <x:v>205</x:v>
      </x:c>
      <x:c r="E95" s="16" t="n">
        <x:f>IF($B95="REAL",SUMIFS(Carga_Reales!$D:$D,Carga_Reales!$A:$A,$A95,Carga_Reales!$B:$B,$C95),SUMIFS(Proyecciones!$D:$D,Proyecciones!$A:$A,$A95,Proyecciones!$B:$B,$C95))*IF($B95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95" s="16" t="n">
        <x:f>IF($B95="REAL",SUMIFS(Carga_Reales!$E:$E,Carga_Reales!$A:$A,$A95,Carga_Reales!$B:$B,$C95),SUMIFS(Proyecciones!$E:$E,Proyecciones!$A:$A,$A95,Proyecciones!$B:$B,$C95))*IF($B95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95" s="16" t="n">
        <x:f>IF($B95="REAL",SUMIFS(Carga_Reales!$F:$F,Carga_Reales!$A:$A,$A95,Carga_Reales!$B:$B,$C95),SUMIFS(Proyecciones!$F:$F,Proyecciones!$A:$A,$A95,Proyecciones!$B:$B,$C95))*IF($B95="REAL",1,IF(Resumen!$B$5="Conservador",Supuestos!$B$5,IF(Resumen!$B$5="Optimista",Supuestos!$B$7,Supuestos!$B$6)))</x:f>
        <x:v>34850000</x:v>
      </x:c>
      <x:c r="H95" s="16" t="n">
        <x:f>IF($B95="REAL",SUMIFS(Carga_Reales!$G:$G,Carga_Reales!$A:$A,$A95,Carga_Reales!$B:$B,$C95),SUMIFS(Proyecciones!$G:$G,Proyecciones!$A:$A,$A95,Proyecciones!$B:$B,$C95))*IF($B95="REAL",1,IF(Resumen!$B$5="Conservador",Supuestos!$B$5,IF(Resumen!$B$5="Optimista",Supuestos!$B$7,Supuestos!$B$6)))</x:f>
        <x:v>0</x:v>
      </x:c>
      <x:c r="I95" s="16" t="n">
        <x:f>IF($B95="REAL",SUMIFS(Carga_Reales!$H:$H,Carga_Reales!$A:$A,$A95,Carga_Reales!$B:$B,$C95),SUMIFS(Proyecciones!$H:$H,Proyecciones!$A:$A,$A95,Proyecciones!$B:$B,$C95))*IF($B95="REAL",1,IF(Resumen!$B$5="Conservador",Supuestos!$B$5,IF(Resumen!$B$5="Optimista",Supuestos!$B$7,Supuestos!$B$6)))</x:f>
        <x:v>0</x:v>
      </x:c>
      <x:c r="J95" s="16" t="n">
        <x:f>IF($B95="REAL",SUMIFS(Carga_Reales!$I:$I,Carga_Reales!$A:$A,$A95,Carga_Reales!$B:$B,$C95),SUMIFS(Proyecciones!$I:$I,Proyecciones!$A:$A,$A95,Proyecciones!$B:$B,$C95))*IF($B95="REAL",1,IF(Resumen!$B$5="Conservador",Supuestos!$B$5,IF(Resumen!$B$5="Optimista",Supuestos!$B$7,Supuestos!$B$6)))</x:f>
        <x:v>0</x:v>
      </x:c>
      <x:c r="K95" s="16" t="n">
        <x:f>IF($B95="REAL",SUMIFS(Carga_Reales!$J:$J,Carga_Reales!$A:$A,$A95,Carga_Reales!$B:$B,$C95),SUMIFS(Proyecciones!$J:$J,Proyecciones!$A:$A,$A95,Proyecciones!$B:$B,$C95))*IF($B95="REAL",1,IF(Resumen!$B$5="Conservador",Supuestos!$B$5,IF(Resumen!$B$5="Optimista",Supuestos!$B$7,Supuestos!$B$6)))</x:f>
        <x:v>99547749.5314076</x:v>
      </x:c>
      <x:c r="L95" s="16" t="n">
        <x:f>IF($B95="REAL",SUMIFS(Carga_Reales!$K:$K,Carga_Reales!$A:$A,$A95,Carga_Reales!$B:$B,$C95),SUMIFS(Proyecciones!$K:$K,Proyecciones!$A:$A,$A95,Proyecciones!$B:$B,$C95))*IF($B95="REAL",1,IF(Resumen!$B$5="Conservador",Supuestos!$E$5,IF(Resumen!$B$5="Optimista",Supuestos!$E$7,Supuestos!$E$6)))</x:f>
        <x:v>90774371.830064</x:v>
      </x:c>
      <x:c r="M95" s="16" t="n">
        <x:f>IF($B95="REAL",SUMIFS(Carga_Reales!$L:$L,Carga_Reales!$A:$A,$A95,Carga_Reales!$B:$B,$C95),SUMIFS(Proyecciones!$L:$L,Proyecciones!$A:$A,$A95,Proyecciones!$B:$B,$C95))*IF($B95="REAL",1,IF(Resumen!$B$5="Conservador",Supuestos!$E$5,IF(Resumen!$B$5="Optimista",Supuestos!$E$7,Supuestos!$E$6)))</x:f>
        <x:v>54382240</x:v>
      </x:c>
      <x:c r="N95" s="16" t="n">
        <x:f>E95+G95+H95+I95+J95+K95</x:f>
        <x:v>1303301189.5314076</x:v>
      </x:c>
      <x:c r="O95" s="16" t="n">
        <x:f>E95-F95+G95+H95+I95+J95+K95-L95-M95</x:f>
        <x:v>194851252.79734355</x:v>
      </x:c>
      <x:c r="P95" s="16" t="n">
        <x:f>O95-IF($B95="REAL",SUMIFS(Carga_Reales!$M:$M,Carga_Reales!$A:$A,$A95,Carga_Reales!$B:$B,$C95),SUMIFS(Proyecciones!$M:$M,Proyecciones!$A:$A,$A95,Proyecciones!$B:$B,$C95))-IF($B95="REAL",SUMIFS(Carga_Reales!$N:$N,Carga_Reales!$A:$A,$A95,Carga_Reales!$B:$B,$C95),SUMIFS(Proyecciones!$N:$N,Proyecciones!$A:$A,$A95,Proyecciones!$B:$B,$C95))</x:f>
        <x:v>124053314.31827335</x:v>
      </x:c>
      <x:c r="Q95" s="16" t="n">
        <x:f>IF($B95="REAL",SUMIFS(Carga_Reales!$O:$O,Carga_Reales!$A:$A,$A95,Carga_Reales!$B:$B,$C95),SUMIFS(Proyecciones!$O:$O,Proyecciones!$A:$A,$A95,Proyecciones!$B:$B,$C95))</x:f>
        <x:v>0</x:v>
      </x:c>
      <x:c r="R95" s="16" t="n">
        <x:f>O95-Q95</x:f>
        <x:v>194851252.79734355</x:v>
      </x:c>
      <x:c r="S95" s="16" t="n">
        <x:f>E95-F95</x:f>
        <x:v>205610115.09599996</x:v>
      </x:c>
      <x:c r="T95" s="16" t="n">
        <x:f>L95+M95</x:f>
        <x:v>145156611.830064</x:v>
      </x:c>
      <x:c r="U95" t="n">
        <x:f>IFERROR((L95+M95)/MAX(1,(S95+G95)/MAX(1,D95)),0)</x:f>
        <x:v>123.75069110019788</x:v>
      </x:c>
    </x:row>
    <x:row r="96">
      <x:c r="A96" s="26" t="n">
        <x:v>46935</x:v>
      </x:c>
      <x:c r="B96" t="str">
        <x:f>IF(EOMONTH($A96,0)&lt;=Resumen!$B$4,"REAL","PROYECTADO")</x:f>
        <x:v>PROYECTADO</x:v>
      </x:c>
      <x:c r="C96" t="str">
        <x:v>Verificarte</x:v>
      </x:c>
      <x:c r="D96" s="15" t="n">
        <x:f>IF($B96="REAL",SUMIFS(Carga_Reales!$C:$C,Carga_Reales!$A:$A,$A96,Carga_Reales!$B:$B,$C96),SUMIFS(Proyecciones!$C:$C,Proyecciones!$A:$A,$A96,Proyecciones!$B:$B,$C96))*IF($B96="REAL",1,IF(Resumen!$B$5="Conservador",Supuestos!$B$5,IF(Resumen!$B$5="Optimista",Supuestos!$B$7,Supuestos!$B$6)))</x:f>
        <x:v>213.5</x:v>
      </x:c>
      <x:c r="E96" s="16" t="n">
        <x:f>IF($B96="REAL",SUMIFS(Carga_Reales!$D:$D,Carga_Reales!$A:$A,$A96,Carga_Reales!$B:$B,$C96),SUMIFS(Proyecciones!$D:$D,Proyecciones!$A:$A,$A96,Proyecciones!$B:$B,$C96))*IF($B96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96" s="16" t="n">
        <x:f>IF($B96="REAL",SUMIFS(Carga_Reales!$E:$E,Carga_Reales!$A:$A,$A96,Carga_Reales!$B:$B,$C96),SUMIFS(Proyecciones!$E:$E,Proyecciones!$A:$A,$A96,Proyecciones!$B:$B,$C96))*IF($B96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96" s="16" t="n">
        <x:f>IF($B96="REAL",SUMIFS(Carga_Reales!$F:$F,Carga_Reales!$A:$A,$A96,Carga_Reales!$B:$B,$C96),SUMIFS(Proyecciones!$F:$F,Proyecciones!$A:$A,$A96,Proyecciones!$B:$B,$C96))*IF($B96="REAL",1,IF(Resumen!$B$5="Conservador",Supuestos!$B$5,IF(Resumen!$B$5="Optimista",Supuestos!$B$7,Supuestos!$B$6)))</x:f>
        <x:v>26858300</x:v>
      </x:c>
      <x:c r="H96" s="16" t="n">
        <x:f>IF($B96="REAL",SUMIFS(Carga_Reales!$G:$G,Carga_Reales!$A:$A,$A96,Carga_Reales!$B:$B,$C96),SUMIFS(Proyecciones!$G:$G,Proyecciones!$A:$A,$A96,Proyecciones!$B:$B,$C96))*IF($B96="REAL",1,IF(Resumen!$B$5="Conservador",Supuestos!$B$5,IF(Resumen!$B$5="Optimista",Supuestos!$B$7,Supuestos!$B$6)))</x:f>
        <x:v>0</x:v>
      </x:c>
      <x:c r="I96" s="16" t="n">
        <x:f>IF($B96="REAL",SUMIFS(Carga_Reales!$H:$H,Carga_Reales!$A:$A,$A96,Carga_Reales!$B:$B,$C96),SUMIFS(Proyecciones!$H:$H,Proyecciones!$A:$A,$A96,Proyecciones!$B:$B,$C96))*IF($B96="REAL",1,IF(Resumen!$B$5="Conservador",Supuestos!$B$5,IF(Resumen!$B$5="Optimista",Supuestos!$B$7,Supuestos!$B$6)))</x:f>
        <x:v>0</x:v>
      </x:c>
      <x:c r="J96" s="16" t="n">
        <x:f>IF($B96="REAL",SUMIFS(Carga_Reales!$I:$I,Carga_Reales!$A:$A,$A96,Carga_Reales!$B:$B,$C96),SUMIFS(Proyecciones!$I:$I,Proyecciones!$A:$A,$A96,Proyecciones!$B:$B,$C96))*IF($B96="REAL",1,IF(Resumen!$B$5="Conservador",Supuestos!$B$5,IF(Resumen!$B$5="Optimista",Supuestos!$B$7,Supuestos!$B$6)))</x:f>
        <x:v>0</x:v>
      </x:c>
      <x:c r="K96" s="16" t="n">
        <x:f>IF($B96="REAL",SUMIFS(Carga_Reales!$J:$J,Carga_Reales!$A:$A,$A96,Carga_Reales!$B:$B,$C96),SUMIFS(Proyecciones!$J:$J,Proyecciones!$A:$A,$A96,Proyecciones!$B:$B,$C96))*IF($B96="REAL",1,IF(Resumen!$B$5="Conservador",Supuestos!$B$5,IF(Resumen!$B$5="Optimista",Supuestos!$B$7,Supuestos!$B$6)))</x:f>
        <x:v>0</x:v>
      </x:c>
      <x:c r="L96" s="16" t="n">
        <x:f>IF($B96="REAL",SUMIFS(Carga_Reales!$K:$K,Carga_Reales!$A:$A,$A96,Carga_Reales!$B:$B,$C96),SUMIFS(Proyecciones!$K:$K,Proyecciones!$A:$A,$A96,Proyecciones!$B:$B,$C96))*IF($B96="REAL",1,IF(Resumen!$B$5="Conservador",Supuestos!$E$5,IF(Resumen!$B$5="Optimista",Supuestos!$E$7,Supuestos!$E$6)))</x:f>
        <x:v>73089161.6281478</x:v>
      </x:c>
      <x:c r="M96" s="16" t="n">
        <x:f>IF($B96="REAL",SUMIFS(Carga_Reales!$L:$L,Carga_Reales!$A:$A,$A96,Carga_Reales!$B:$B,$C96),SUMIFS(Proyecciones!$L:$L,Proyecciones!$A:$A,$A96,Proyecciones!$B:$B,$C96))*IF($B96="REAL",1,IF(Resumen!$B$5="Conservador",Supuestos!$E$5,IF(Resumen!$B$5="Optimista",Supuestos!$E$7,Supuestos!$E$6)))</x:f>
        <x:v>79775600</x:v>
      </x:c>
      <x:c r="N96" s="16" t="n">
        <x:f>E96+G96+H96+I96+J96+K96</x:f>
        <x:v>2018293000.5</x:v>
      </x:c>
      <x:c r="O96" s="16" t="n">
        <x:f>E96-F96+G96+H96+I96+J96+K96-L96-M96</x:f>
        <x:v>202580263.9543522</x:v>
      </x:c>
      <x:c r="P96" s="16" t="n">
        <x:f>O96-IF($B96="REAL",SUMIFS(Carga_Reales!$M:$M,Carga_Reales!$A:$A,$A96,Carga_Reales!$B:$B,$C96),SUMIFS(Proyecciones!$M:$M,Proyecciones!$A:$A,$A96,Proyecciones!$B:$B,$C96))-IF($B96="REAL",SUMIFS(Carga_Reales!$N:$N,Carga_Reales!$A:$A,$A96,Carga_Reales!$B:$B,$C96),SUMIFS(Proyecciones!$N:$N,Proyecciones!$A:$A,$A96,Proyecciones!$B:$B,$C96))</x:f>
        <x:v>129077171.5703288</x:v>
      </x:c>
      <x:c r="Q96" s="16" t="n">
        <x:f>IF($B96="REAL",SUMIFS(Carga_Reales!$O:$O,Carga_Reales!$A:$A,$A96,Carga_Reales!$B:$B,$C96),SUMIFS(Proyecciones!$O:$O,Proyecciones!$A:$A,$A96,Proyecciones!$B:$B,$C96))</x:f>
        <x:v>0</x:v>
      </x:c>
      <x:c r="R96" s="16" t="n">
        <x:f>O96-Q96</x:f>
        <x:v>202580263.9543522</x:v>
      </x:c>
      <x:c r="S96" s="16" t="n">
        <x:f>E96-F96</x:f>
        <x:v>328586725.5825</x:v>
      </x:c>
      <x:c r="T96" s="16" t="n">
        <x:f>L96+M96</x:f>
        <x:v>152864761.62814778</x:v>
      </x:c>
      <x:c r="U96" t="n">
        <x:f>IFERROR((L96+M96)/MAX(1,(S96+G96)/MAX(1,D96)),0)</x:f>
        <x:v>91.81905571508548</x:v>
      </x:c>
    </x:row>
    <x:row r="97">
      <x:c r="A97" s="26" t="n">
        <x:v>46935</x:v>
      </x:c>
      <x:c r="B97" t="str">
        <x:f>IF(EOMONTH($A97,0)&lt;=Resumen!$B$4,"REAL","PROYECTADO")</x:f>
        <x:v>PROYECTADO</x:v>
      </x:c>
      <x:c r="C97" t="str">
        <x:v>TuClick</x:v>
      </x:c>
      <x:c r="D97" s="15" t="n">
        <x:f>IF($B97="REAL",SUMIFS(Carga_Reales!$C:$C,Carga_Reales!$A:$A,$A97,Carga_Reales!$B:$B,$C97),SUMIFS(Proyecciones!$C:$C,Proyecciones!$A:$A,$A97,Proyecciones!$B:$B,$C97))*IF($B97="REAL",1,IF(Resumen!$B$5="Conservador",Supuestos!$B$5,IF(Resumen!$B$5="Optimista",Supuestos!$B$7,Supuestos!$B$6)))</x:f>
        <x:v>81.5</x:v>
      </x:c>
      <x:c r="E97" s="16" t="n">
        <x:f>IF($B97="REAL",SUMIFS(Carga_Reales!$D:$D,Carga_Reales!$A:$A,$A97,Carga_Reales!$B:$B,$C97),SUMIFS(Proyecciones!$D:$D,Proyecciones!$A:$A,$A97,Proyecciones!$B:$B,$C97))*IF($B97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97" s="16" t="n">
        <x:f>IF($B97="REAL",SUMIFS(Carga_Reales!$E:$E,Carga_Reales!$A:$A,$A97,Carga_Reales!$B:$B,$C97),SUMIFS(Proyecciones!$E:$E,Proyecciones!$A:$A,$A97,Proyecciones!$B:$B,$C97))*IF($B97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97" s="16" t="n">
        <x:f>IF($B97="REAL",SUMIFS(Carga_Reales!$F:$F,Carga_Reales!$A:$A,$A97,Carga_Reales!$B:$B,$C97),SUMIFS(Proyecciones!$F:$F,Proyecciones!$A:$A,$A97,Proyecciones!$B:$B,$C97))*IF($B97="REAL",1,IF(Resumen!$B$5="Conservador",Supuestos!$B$5,IF(Resumen!$B$5="Optimista",Supuestos!$B$7,Supuestos!$B$6)))</x:f>
        <x:v>18186725</x:v>
      </x:c>
      <x:c r="H97" s="16" t="n">
        <x:f>IF($B97="REAL",SUMIFS(Carga_Reales!$G:$G,Carga_Reales!$A:$A,$A97,Carga_Reales!$B:$B,$C97),SUMIFS(Proyecciones!$G:$G,Proyecciones!$A:$A,$A97,Proyecciones!$B:$B,$C97))*IF($B97="REAL",1,IF(Resumen!$B$5="Conservador",Supuestos!$B$5,IF(Resumen!$B$5="Optimista",Supuestos!$B$7,Supuestos!$B$6)))</x:f>
        <x:v>0</x:v>
      </x:c>
      <x:c r="I97" s="16" t="n">
        <x:f>IF($B97="REAL",SUMIFS(Carga_Reales!$H:$H,Carga_Reales!$A:$A,$A97,Carga_Reales!$B:$B,$C97),SUMIFS(Proyecciones!$H:$H,Proyecciones!$A:$A,$A97,Proyecciones!$B:$B,$C97))*IF($B97="REAL",1,IF(Resumen!$B$5="Conservador",Supuestos!$B$5,IF(Resumen!$B$5="Optimista",Supuestos!$B$7,Supuestos!$B$6)))</x:f>
        <x:v>0</x:v>
      </x:c>
      <x:c r="J97" s="16" t="n">
        <x:f>IF($B97="REAL",SUMIFS(Carga_Reales!$I:$I,Carga_Reales!$A:$A,$A97,Carga_Reales!$B:$B,$C97),SUMIFS(Proyecciones!$I:$I,Proyecciones!$A:$A,$A97,Proyecciones!$B:$B,$C97))*IF($B97="REAL",1,IF(Resumen!$B$5="Conservador",Supuestos!$B$5,IF(Resumen!$B$5="Optimista",Supuestos!$B$7,Supuestos!$B$6)))</x:f>
        <x:v>0</x:v>
      </x:c>
      <x:c r="K97" s="16" t="n">
        <x:f>IF($B97="REAL",SUMIFS(Carga_Reales!$J:$J,Carga_Reales!$A:$A,$A97,Carga_Reales!$B:$B,$C97),SUMIFS(Proyecciones!$J:$J,Proyecciones!$A:$A,$A97,Proyecciones!$B:$B,$C97))*IF($B97="REAL",1,IF(Resumen!$B$5="Conservador",Supuestos!$B$5,IF(Resumen!$B$5="Optimista",Supuestos!$B$7,Supuestos!$B$6)))</x:f>
        <x:v>0</x:v>
      </x:c>
      <x:c r="L97" s="16" t="n">
        <x:f>IF($B97="REAL",SUMIFS(Carga_Reales!$K:$K,Carga_Reales!$A:$A,$A97,Carga_Reales!$B:$B,$C97),SUMIFS(Proyecciones!$K:$K,Proyecciones!$A:$A,$A97,Proyecciones!$B:$B,$C97))*IF($B97="REAL",1,IF(Resumen!$B$5="Conservador",Supuestos!$E$5,IF(Resumen!$B$5="Optimista",Supuestos!$E$7,Supuestos!$E$6)))</x:f>
        <x:v>31865823.5635883</x:v>
      </x:c>
      <x:c r="M97" s="16" t="n">
        <x:f>IF($B97="REAL",SUMIFS(Carga_Reales!$L:$L,Carga_Reales!$A:$A,$A97,Carga_Reales!$B:$B,$C97),SUMIFS(Proyecciones!$L:$L,Proyecciones!$A:$A,$A97,Proyecciones!$B:$B,$C97))*IF($B97="REAL",1,IF(Resumen!$B$5="Conservador",Supuestos!$E$5,IF(Resumen!$B$5="Optimista",Supuestos!$E$7,Supuestos!$E$6)))</x:f>
        <x:v>44944000</x:v>
      </x:c>
      <x:c r="N97" s="16" t="n">
        <x:f>E97+G97+H97+I97+J97+K97</x:f>
        <x:v>587305055.5</x:v>
      </x:c>
      <x:c r="O97" s="16" t="n">
        <x:f>E97-F97+G97+H97+I97+J97+K97-L97-M97</x:f>
        <x:v>23842147.52586171</x:v>
      </x:c>
      <x:c r="P97" s="16" t="n">
        <x:f>O97-IF($B97="REAL",SUMIFS(Carga_Reales!$M:$M,Carga_Reales!$A:$A,$A97,Carga_Reales!$B:$B,$C97),SUMIFS(Proyecciones!$M:$M,Proyecciones!$A:$A,$A97,Proyecciones!$B:$B,$C97))-IF($B97="REAL",SUMIFS(Carga_Reales!$N:$N,Carga_Reales!$A:$A,$A97,Carga_Reales!$B:$B,$C97),SUMIFS(Proyecciones!$N:$N,Proyecciones!$A:$A,$A97,Proyecciones!$B:$B,$C97))</x:f>
        <x:v>14197395.891810112</x:v>
      </x:c>
      <x:c r="Q97" s="16" t="n">
        <x:f>IF($B97="REAL",SUMIFS(Carga_Reales!$O:$O,Carga_Reales!$A:$A,$A97,Carga_Reales!$B:$B,$C97),SUMIFS(Proyecciones!$O:$O,Proyecciones!$A:$A,$A97,Proyecciones!$B:$B,$C97))</x:f>
        <x:v>0</x:v>
      </x:c>
      <x:c r="R97" s="16" t="n">
        <x:f>O97-Q97</x:f>
        <x:v>23842147.52586171</x:v>
      </x:c>
      <x:c r="S97" s="16" t="n">
        <x:f>E97-F97</x:f>
        <x:v>82465246.08945</x:v>
      </x:c>
      <x:c r="T97" s="16" t="n">
        <x:f>L97+M97</x:f>
        <x:v>76809823.56358829</x:v>
      </x:c>
      <x:c r="U97" t="n">
        <x:f>IFERROR((L97+M97)/MAX(1,(S97+G97)/MAX(1,D97)),0)</x:f>
        <x:v>62.194515941164696</x:v>
      </x:c>
    </x:row>
    <x:row r="98">
      <x:c r="A98" s="26" t="n">
        <x:v>46966</x:v>
      </x:c>
      <x:c r="B98" t="str">
        <x:f>IF(EOMONTH($A98,0)&lt;=Resumen!$B$4,"REAL","PROYECTADO")</x:f>
        <x:v>PROYECTADO</x:v>
      </x:c>
      <x:c r="C98" t="str">
        <x:v>Moto para Todos</x:v>
      </x:c>
      <x:c r="D98" s="15" t="n">
        <x:f>IF($B98="REAL",SUMIFS(Carga_Reales!$C:$C,Carga_Reales!$A:$A,$A98,Carga_Reales!$B:$B,$C98),SUMIFS(Proyecciones!$C:$C,Proyecciones!$A:$A,$A98,Proyecciones!$B:$B,$C98))*IF($B98="REAL",1,IF(Resumen!$B$5="Conservador",Supuestos!$B$5,IF(Resumen!$B$5="Optimista",Supuestos!$B$7,Supuestos!$B$6)))</x:f>
        <x:v>205</x:v>
      </x:c>
      <x:c r="E98" s="16" t="n">
        <x:f>IF($B98="REAL",SUMIFS(Carga_Reales!$D:$D,Carga_Reales!$A:$A,$A98,Carga_Reales!$B:$B,$C98),SUMIFS(Proyecciones!$D:$D,Proyecciones!$A:$A,$A98,Proyecciones!$B:$B,$C98))*IF($B98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98" s="16" t="n">
        <x:f>IF($B98="REAL",SUMIFS(Carga_Reales!$E:$E,Carga_Reales!$A:$A,$A98,Carga_Reales!$B:$B,$C98),SUMIFS(Proyecciones!$E:$E,Proyecciones!$A:$A,$A98,Proyecciones!$B:$B,$C98))*IF($B98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98" s="16" t="n">
        <x:f>IF($B98="REAL",SUMIFS(Carga_Reales!$F:$F,Carga_Reales!$A:$A,$A98,Carga_Reales!$B:$B,$C98),SUMIFS(Proyecciones!$F:$F,Proyecciones!$A:$A,$A98,Proyecciones!$B:$B,$C98))*IF($B98="REAL",1,IF(Resumen!$B$5="Conservador",Supuestos!$B$5,IF(Resumen!$B$5="Optimista",Supuestos!$B$7,Supuestos!$B$6)))</x:f>
        <x:v>34850000</x:v>
      </x:c>
      <x:c r="H98" s="16" t="n">
        <x:f>IF($B98="REAL",SUMIFS(Carga_Reales!$G:$G,Carga_Reales!$A:$A,$A98,Carga_Reales!$B:$B,$C98),SUMIFS(Proyecciones!$G:$G,Proyecciones!$A:$A,$A98,Proyecciones!$B:$B,$C98))*IF($B98="REAL",1,IF(Resumen!$B$5="Conservador",Supuestos!$B$5,IF(Resumen!$B$5="Optimista",Supuestos!$B$7,Supuestos!$B$6)))</x:f>
        <x:v>0</x:v>
      </x:c>
      <x:c r="I98" s="16" t="n">
        <x:f>IF($B98="REAL",SUMIFS(Carga_Reales!$H:$H,Carga_Reales!$A:$A,$A98,Carga_Reales!$B:$B,$C98),SUMIFS(Proyecciones!$H:$H,Proyecciones!$A:$A,$A98,Proyecciones!$B:$B,$C98))*IF($B98="REAL",1,IF(Resumen!$B$5="Conservador",Supuestos!$B$5,IF(Resumen!$B$5="Optimista",Supuestos!$B$7,Supuestos!$B$6)))</x:f>
        <x:v>0</x:v>
      </x:c>
      <x:c r="J98" s="16" t="n">
        <x:f>IF($B98="REAL",SUMIFS(Carga_Reales!$I:$I,Carga_Reales!$A:$A,$A98,Carga_Reales!$B:$B,$C98),SUMIFS(Proyecciones!$I:$I,Proyecciones!$A:$A,$A98,Proyecciones!$B:$B,$C98))*IF($B98="REAL",1,IF(Resumen!$B$5="Conservador",Supuestos!$B$5,IF(Resumen!$B$5="Optimista",Supuestos!$B$7,Supuestos!$B$6)))</x:f>
        <x:v>0</x:v>
      </x:c>
      <x:c r="K98" s="16" t="n">
        <x:f>IF($B98="REAL",SUMIFS(Carga_Reales!$J:$J,Carga_Reales!$A:$A,$A98,Carga_Reales!$B:$B,$C98),SUMIFS(Proyecciones!$J:$J,Proyecciones!$A:$A,$A98,Proyecciones!$B:$B,$C98))*IF($B98="REAL",1,IF(Resumen!$B$5="Conservador",Supuestos!$B$5,IF(Resumen!$B$5="Optimista",Supuestos!$B$7,Supuestos!$B$6)))</x:f>
        <x:v>102494926.634266</x:v>
      </x:c>
      <x:c r="L98" s="16" t="n">
        <x:f>IF($B98="REAL",SUMIFS(Carga_Reales!$K:$K,Carga_Reales!$A:$A,$A98,Carga_Reales!$B:$B,$C98),SUMIFS(Proyecciones!$K:$K,Proyecciones!$A:$A,$A98,Proyecciones!$B:$B,$C98))*IF($B98="REAL",1,IF(Resumen!$B$5="Conservador",Supuestos!$E$5,IF(Resumen!$B$5="Optimista",Supuestos!$E$7,Supuestos!$E$6)))</x:f>
        <x:v>90774371.830064</x:v>
      </x:c>
      <x:c r="M98" s="16" t="n">
        <x:f>IF($B98="REAL",SUMIFS(Carga_Reales!$L:$L,Carga_Reales!$A:$A,$A98,Carga_Reales!$B:$B,$C98),SUMIFS(Proyecciones!$L:$L,Proyecciones!$A:$A,$A98,Proyecciones!$B:$B,$C98))*IF($B98="REAL",1,IF(Resumen!$B$5="Conservador",Supuestos!$E$5,IF(Resumen!$B$5="Optimista",Supuestos!$E$7,Supuestos!$E$6)))</x:f>
        <x:v>54382240</x:v>
      </x:c>
      <x:c r="N98" s="16" t="n">
        <x:f>E98+G98+H98+I98+J98+K98</x:f>
        <x:v>1306248366.634266</x:v>
      </x:c>
      <x:c r="O98" s="16" t="n">
        <x:f>E98-F98+G98+H98+I98+J98+K98-L98-M98</x:f>
        <x:v>197798429.90020198</x:v>
      </x:c>
      <x:c r="P98" s="16" t="n">
        <x:f>O98-IF($B98="REAL",SUMIFS(Carga_Reales!$M:$M,Carga_Reales!$A:$A,$A98,Carga_Reales!$B:$B,$C98),SUMIFS(Proyecciones!$M:$M,Proyecciones!$A:$A,$A98,Proyecciones!$B:$B,$C98))-IF($B98="REAL",SUMIFS(Carga_Reales!$N:$N,Carga_Reales!$A:$A,$A98,Carga_Reales!$B:$B,$C98),SUMIFS(Proyecciones!$N:$N,Proyecciones!$A:$A,$A98,Proyecciones!$B:$B,$C98))</x:f>
        <x:v>125968979.43513137</x:v>
      </x:c>
      <x:c r="Q98" s="16" t="n">
        <x:f>IF($B98="REAL",SUMIFS(Carga_Reales!$O:$O,Carga_Reales!$A:$A,$A98,Carga_Reales!$B:$B,$C98),SUMIFS(Proyecciones!$O:$O,Proyecciones!$A:$A,$A98,Proyecciones!$B:$B,$C98))</x:f>
        <x:v>0</x:v>
      </x:c>
      <x:c r="R98" s="16" t="n">
        <x:f>O98-Q98</x:f>
        <x:v>197798429.90020198</x:v>
      </x:c>
      <x:c r="S98" s="16" t="n">
        <x:f>E98-F98</x:f>
        <x:v>205610115.09599996</x:v>
      </x:c>
      <x:c r="T98" s="16" t="n">
        <x:f>L98+M98</x:f>
        <x:v>145156611.830064</x:v>
      </x:c>
      <x:c r="U98" t="n">
        <x:f>IFERROR((L98+M98)/MAX(1,(S98+G98)/MAX(1,D98)),0)</x:f>
        <x:v>123.75069110019788</x:v>
      </x:c>
    </x:row>
    <x:row r="99">
      <x:c r="A99" s="26" t="n">
        <x:v>46966</x:v>
      </x:c>
      <x:c r="B99" t="str">
        <x:f>IF(EOMONTH($A99,0)&lt;=Resumen!$B$4,"REAL","PROYECTADO")</x:f>
        <x:v>PROYECTADO</x:v>
      </x:c>
      <x:c r="C99" t="str">
        <x:v>Verificarte</x:v>
      </x:c>
      <x:c r="D99" s="15" t="n">
        <x:f>IF($B99="REAL",SUMIFS(Carga_Reales!$C:$C,Carga_Reales!$A:$A,$A99,Carga_Reales!$B:$B,$C99),SUMIFS(Proyecciones!$C:$C,Proyecciones!$A:$A,$A99,Proyecciones!$B:$B,$C99))*IF($B99="REAL",1,IF(Resumen!$B$5="Conservador",Supuestos!$B$5,IF(Resumen!$B$5="Optimista",Supuestos!$B$7,Supuestos!$B$6)))</x:f>
        <x:v>213.5</x:v>
      </x:c>
      <x:c r="E99" s="16" t="n">
        <x:f>IF($B99="REAL",SUMIFS(Carga_Reales!$D:$D,Carga_Reales!$A:$A,$A99,Carga_Reales!$B:$B,$C99),SUMIFS(Proyecciones!$D:$D,Proyecciones!$A:$A,$A99,Proyecciones!$B:$B,$C99))*IF($B99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99" s="16" t="n">
        <x:f>IF($B99="REAL",SUMIFS(Carga_Reales!$E:$E,Carga_Reales!$A:$A,$A99,Carga_Reales!$B:$B,$C99),SUMIFS(Proyecciones!$E:$E,Proyecciones!$A:$A,$A99,Proyecciones!$B:$B,$C99))*IF($B99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99" s="16" t="n">
        <x:f>IF($B99="REAL",SUMIFS(Carga_Reales!$F:$F,Carga_Reales!$A:$A,$A99,Carga_Reales!$B:$B,$C99),SUMIFS(Proyecciones!$F:$F,Proyecciones!$A:$A,$A99,Proyecciones!$B:$B,$C99))*IF($B99="REAL",1,IF(Resumen!$B$5="Conservador",Supuestos!$B$5,IF(Resumen!$B$5="Optimista",Supuestos!$B$7,Supuestos!$B$6)))</x:f>
        <x:v>26858300</x:v>
      </x:c>
      <x:c r="H99" s="16" t="n">
        <x:f>IF($B99="REAL",SUMIFS(Carga_Reales!$G:$G,Carga_Reales!$A:$A,$A99,Carga_Reales!$B:$B,$C99),SUMIFS(Proyecciones!$G:$G,Proyecciones!$A:$A,$A99,Proyecciones!$B:$B,$C99))*IF($B99="REAL",1,IF(Resumen!$B$5="Conservador",Supuestos!$B$5,IF(Resumen!$B$5="Optimista",Supuestos!$B$7,Supuestos!$B$6)))</x:f>
        <x:v>0</x:v>
      </x:c>
      <x:c r="I99" s="16" t="n">
        <x:f>IF($B99="REAL",SUMIFS(Carga_Reales!$H:$H,Carga_Reales!$A:$A,$A99,Carga_Reales!$B:$B,$C99),SUMIFS(Proyecciones!$H:$H,Proyecciones!$A:$A,$A99,Proyecciones!$B:$B,$C99))*IF($B99="REAL",1,IF(Resumen!$B$5="Conservador",Supuestos!$B$5,IF(Resumen!$B$5="Optimista",Supuestos!$B$7,Supuestos!$B$6)))</x:f>
        <x:v>0</x:v>
      </x:c>
      <x:c r="J99" s="16" t="n">
        <x:f>IF($B99="REAL",SUMIFS(Carga_Reales!$I:$I,Carga_Reales!$A:$A,$A99,Carga_Reales!$B:$B,$C99),SUMIFS(Proyecciones!$I:$I,Proyecciones!$A:$A,$A99,Proyecciones!$B:$B,$C99))*IF($B99="REAL",1,IF(Resumen!$B$5="Conservador",Supuestos!$B$5,IF(Resumen!$B$5="Optimista",Supuestos!$B$7,Supuestos!$B$6)))</x:f>
        <x:v>0</x:v>
      </x:c>
      <x:c r="K99" s="16" t="n">
        <x:f>IF($B99="REAL",SUMIFS(Carga_Reales!$J:$J,Carga_Reales!$A:$A,$A99,Carga_Reales!$B:$B,$C99),SUMIFS(Proyecciones!$J:$J,Proyecciones!$A:$A,$A99,Proyecciones!$B:$B,$C99))*IF($B99="REAL",1,IF(Resumen!$B$5="Conservador",Supuestos!$B$5,IF(Resumen!$B$5="Optimista",Supuestos!$B$7,Supuestos!$B$6)))</x:f>
        <x:v>0</x:v>
      </x:c>
      <x:c r="L99" s="16" t="n">
        <x:f>IF($B99="REAL",SUMIFS(Carga_Reales!$K:$K,Carga_Reales!$A:$A,$A99,Carga_Reales!$B:$B,$C99),SUMIFS(Proyecciones!$K:$K,Proyecciones!$A:$A,$A99,Proyecciones!$B:$B,$C99))*IF($B99="REAL",1,IF(Resumen!$B$5="Conservador",Supuestos!$E$5,IF(Resumen!$B$5="Optimista",Supuestos!$E$7,Supuestos!$E$6)))</x:f>
        <x:v>73089161.6281478</x:v>
      </x:c>
      <x:c r="M99" s="16" t="n">
        <x:f>IF($B99="REAL",SUMIFS(Carga_Reales!$L:$L,Carga_Reales!$A:$A,$A99,Carga_Reales!$B:$B,$C99),SUMIFS(Proyecciones!$L:$L,Proyecciones!$A:$A,$A99,Proyecciones!$B:$B,$C99))*IF($B99="REAL",1,IF(Resumen!$B$5="Conservador",Supuestos!$E$5,IF(Resumen!$B$5="Optimista",Supuestos!$E$7,Supuestos!$E$6)))</x:f>
        <x:v>79775600</x:v>
      </x:c>
      <x:c r="N99" s="16" t="n">
        <x:f>E99+G99+H99+I99+J99+K99</x:f>
        <x:v>2018293000.5</x:v>
      </x:c>
      <x:c r="O99" s="16" t="n">
        <x:f>E99-F99+G99+H99+I99+J99+K99-L99-M99</x:f>
        <x:v>202580263.9543522</x:v>
      </x:c>
      <x:c r="P99" s="16" t="n">
        <x:f>O99-IF($B99="REAL",SUMIFS(Carga_Reales!$M:$M,Carga_Reales!$A:$A,$A99,Carga_Reales!$B:$B,$C99),SUMIFS(Proyecciones!$M:$M,Proyecciones!$A:$A,$A99,Proyecciones!$B:$B,$C99))-IF($B99="REAL",SUMIFS(Carga_Reales!$N:$N,Carga_Reales!$A:$A,$A99,Carga_Reales!$B:$B,$C99),SUMIFS(Proyecciones!$N:$N,Proyecciones!$A:$A,$A99,Proyecciones!$B:$B,$C99))</x:f>
        <x:v>129077171.5703288</x:v>
      </x:c>
      <x:c r="Q99" s="16" t="n">
        <x:f>IF($B99="REAL",SUMIFS(Carga_Reales!$O:$O,Carga_Reales!$A:$A,$A99,Carga_Reales!$B:$B,$C99),SUMIFS(Proyecciones!$O:$O,Proyecciones!$A:$A,$A99,Proyecciones!$B:$B,$C99))</x:f>
        <x:v>0</x:v>
      </x:c>
      <x:c r="R99" s="16" t="n">
        <x:f>O99-Q99</x:f>
        <x:v>202580263.9543522</x:v>
      </x:c>
      <x:c r="S99" s="16" t="n">
        <x:f>E99-F99</x:f>
        <x:v>328586725.5825</x:v>
      </x:c>
      <x:c r="T99" s="16" t="n">
        <x:f>L99+M99</x:f>
        <x:v>152864761.62814778</x:v>
      </x:c>
      <x:c r="U99" t="n">
        <x:f>IFERROR((L99+M99)/MAX(1,(S99+G99)/MAX(1,D99)),0)</x:f>
        <x:v>91.81905571508548</x:v>
      </x:c>
    </x:row>
    <x:row r="100">
      <x:c r="A100" s="26" t="n">
        <x:v>46966</x:v>
      </x:c>
      <x:c r="B100" t="str">
        <x:f>IF(EOMONTH($A100,0)&lt;=Resumen!$B$4,"REAL","PROYECTADO")</x:f>
        <x:v>PROYECTADO</x:v>
      </x:c>
      <x:c r="C100" t="str">
        <x:v>TuClick</x:v>
      </x:c>
      <x:c r="D100" s="15" t="n">
        <x:f>IF($B100="REAL",SUMIFS(Carga_Reales!$C:$C,Carga_Reales!$A:$A,$A100,Carga_Reales!$B:$B,$C100),SUMIFS(Proyecciones!$C:$C,Proyecciones!$A:$A,$A100,Proyecciones!$B:$B,$C100))*IF($B100="REAL",1,IF(Resumen!$B$5="Conservador",Supuestos!$B$5,IF(Resumen!$B$5="Optimista",Supuestos!$B$7,Supuestos!$B$6)))</x:f>
        <x:v>81.5</x:v>
      </x:c>
      <x:c r="E100" s="16" t="n">
        <x:f>IF($B100="REAL",SUMIFS(Carga_Reales!$D:$D,Carga_Reales!$A:$A,$A100,Carga_Reales!$B:$B,$C100),SUMIFS(Proyecciones!$D:$D,Proyecciones!$A:$A,$A100,Proyecciones!$B:$B,$C100))*IF($B100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100" s="16" t="n">
        <x:f>IF($B100="REAL",SUMIFS(Carga_Reales!$E:$E,Carga_Reales!$A:$A,$A100,Carga_Reales!$B:$B,$C100),SUMIFS(Proyecciones!$E:$E,Proyecciones!$A:$A,$A100,Proyecciones!$B:$B,$C100))*IF($B100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100" s="16" t="n">
        <x:f>IF($B100="REAL",SUMIFS(Carga_Reales!$F:$F,Carga_Reales!$A:$A,$A100,Carga_Reales!$B:$B,$C100),SUMIFS(Proyecciones!$F:$F,Proyecciones!$A:$A,$A100,Proyecciones!$B:$B,$C100))*IF($B100="REAL",1,IF(Resumen!$B$5="Conservador",Supuestos!$B$5,IF(Resumen!$B$5="Optimista",Supuestos!$B$7,Supuestos!$B$6)))</x:f>
        <x:v>18186725</x:v>
      </x:c>
      <x:c r="H100" s="16" t="n">
        <x:f>IF($B100="REAL",SUMIFS(Carga_Reales!$G:$G,Carga_Reales!$A:$A,$A100,Carga_Reales!$B:$B,$C100),SUMIFS(Proyecciones!$G:$G,Proyecciones!$A:$A,$A100,Proyecciones!$B:$B,$C100))*IF($B100="REAL",1,IF(Resumen!$B$5="Conservador",Supuestos!$B$5,IF(Resumen!$B$5="Optimista",Supuestos!$B$7,Supuestos!$B$6)))</x:f>
        <x:v>0</x:v>
      </x:c>
      <x:c r="I100" s="16" t="n">
        <x:f>IF($B100="REAL",SUMIFS(Carga_Reales!$H:$H,Carga_Reales!$A:$A,$A100,Carga_Reales!$B:$B,$C100),SUMIFS(Proyecciones!$H:$H,Proyecciones!$A:$A,$A100,Proyecciones!$B:$B,$C100))*IF($B100="REAL",1,IF(Resumen!$B$5="Conservador",Supuestos!$B$5,IF(Resumen!$B$5="Optimista",Supuestos!$B$7,Supuestos!$B$6)))</x:f>
        <x:v>0</x:v>
      </x:c>
      <x:c r="J100" s="16" t="n">
        <x:f>IF($B100="REAL",SUMIFS(Carga_Reales!$I:$I,Carga_Reales!$A:$A,$A100,Carga_Reales!$B:$B,$C100),SUMIFS(Proyecciones!$I:$I,Proyecciones!$A:$A,$A100,Proyecciones!$B:$B,$C100))*IF($B100="REAL",1,IF(Resumen!$B$5="Conservador",Supuestos!$B$5,IF(Resumen!$B$5="Optimista",Supuestos!$B$7,Supuestos!$B$6)))</x:f>
        <x:v>0</x:v>
      </x:c>
      <x:c r="K100" s="16" t="n">
        <x:f>IF($B100="REAL",SUMIFS(Carga_Reales!$J:$J,Carga_Reales!$A:$A,$A100,Carga_Reales!$B:$B,$C100),SUMIFS(Proyecciones!$J:$J,Proyecciones!$A:$A,$A100,Proyecciones!$B:$B,$C100))*IF($B100="REAL",1,IF(Resumen!$B$5="Conservador",Supuestos!$B$5,IF(Resumen!$B$5="Optimista",Supuestos!$B$7,Supuestos!$B$6)))</x:f>
        <x:v>0</x:v>
      </x:c>
      <x:c r="L100" s="16" t="n">
        <x:f>IF($B100="REAL",SUMIFS(Carga_Reales!$K:$K,Carga_Reales!$A:$A,$A100,Carga_Reales!$B:$B,$C100),SUMIFS(Proyecciones!$K:$K,Proyecciones!$A:$A,$A100,Proyecciones!$B:$B,$C100))*IF($B100="REAL",1,IF(Resumen!$B$5="Conservador",Supuestos!$E$5,IF(Resumen!$B$5="Optimista",Supuestos!$E$7,Supuestos!$E$6)))</x:f>
        <x:v>31865823.5635883</x:v>
      </x:c>
      <x:c r="M100" s="16" t="n">
        <x:f>IF($B100="REAL",SUMIFS(Carga_Reales!$L:$L,Carga_Reales!$A:$A,$A100,Carga_Reales!$B:$B,$C100),SUMIFS(Proyecciones!$L:$L,Proyecciones!$A:$A,$A100,Proyecciones!$B:$B,$C100))*IF($B100="REAL",1,IF(Resumen!$B$5="Conservador",Supuestos!$E$5,IF(Resumen!$B$5="Optimista",Supuestos!$E$7,Supuestos!$E$6)))</x:f>
        <x:v>44944000</x:v>
      </x:c>
      <x:c r="N100" s="16" t="n">
        <x:f>E100+G100+H100+I100+J100+K100</x:f>
        <x:v>587305055.5</x:v>
      </x:c>
      <x:c r="O100" s="16" t="n">
        <x:f>E100-F100+G100+H100+I100+J100+K100-L100-M100</x:f>
        <x:v>23842147.52586171</x:v>
      </x:c>
      <x:c r="P100" s="16" t="n">
        <x:f>O100-IF($B100="REAL",SUMIFS(Carga_Reales!$M:$M,Carga_Reales!$A:$A,$A100,Carga_Reales!$B:$B,$C100),SUMIFS(Proyecciones!$M:$M,Proyecciones!$A:$A,$A100,Proyecciones!$B:$B,$C100))-IF($B100="REAL",SUMIFS(Carga_Reales!$N:$N,Carga_Reales!$A:$A,$A100,Carga_Reales!$B:$B,$C100),SUMIFS(Proyecciones!$N:$N,Proyecciones!$A:$A,$A100,Proyecciones!$B:$B,$C100))</x:f>
        <x:v>14197395.891810112</x:v>
      </x:c>
      <x:c r="Q100" s="16" t="n">
        <x:f>IF($B100="REAL",SUMIFS(Carga_Reales!$O:$O,Carga_Reales!$A:$A,$A100,Carga_Reales!$B:$B,$C100),SUMIFS(Proyecciones!$O:$O,Proyecciones!$A:$A,$A100,Proyecciones!$B:$B,$C100))</x:f>
        <x:v>0</x:v>
      </x:c>
      <x:c r="R100" s="16" t="n">
        <x:f>O100-Q100</x:f>
        <x:v>23842147.52586171</x:v>
      </x:c>
      <x:c r="S100" s="16" t="n">
        <x:f>E100-F100</x:f>
        <x:v>82465246.08945</x:v>
      </x:c>
      <x:c r="T100" s="16" t="n">
        <x:f>L100+M100</x:f>
        <x:v>76809823.56358829</x:v>
      </x:c>
      <x:c r="U100" t="n">
        <x:f>IFERROR((L100+M100)/MAX(1,(S100+G100)/MAX(1,D100)),0)</x:f>
        <x:v>62.194515941164696</x:v>
      </x:c>
    </x:row>
    <x:row r="101">
      <x:c r="A101" s="26" t="n">
        <x:v>46997</x:v>
      </x:c>
      <x:c r="B101" t="str">
        <x:f>IF(EOMONTH($A101,0)&lt;=Resumen!$B$4,"REAL","PROYECTADO")</x:f>
        <x:v>PROYECTADO</x:v>
      </x:c>
      <x:c r="C101" t="str">
        <x:v>Moto para Todos</x:v>
      </x:c>
      <x:c r="D101" s="15" t="n">
        <x:f>IF($B101="REAL",SUMIFS(Carga_Reales!$C:$C,Carga_Reales!$A:$A,$A101,Carga_Reales!$B:$B,$C101),SUMIFS(Proyecciones!$C:$C,Proyecciones!$A:$A,$A101,Proyecciones!$B:$B,$C101))*IF($B101="REAL",1,IF(Resumen!$B$5="Conservador",Supuestos!$B$5,IF(Resumen!$B$5="Optimista",Supuestos!$B$7,Supuestos!$B$6)))</x:f>
        <x:v>205</x:v>
      </x:c>
      <x:c r="E101" s="16" t="n">
        <x:f>IF($B101="REAL",SUMIFS(Carga_Reales!$D:$D,Carga_Reales!$A:$A,$A101,Carga_Reales!$B:$B,$C101),SUMIFS(Proyecciones!$D:$D,Proyecciones!$A:$A,$A101,Proyecciones!$B:$B,$C101))*IF($B101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101" s="16" t="n">
        <x:f>IF($B101="REAL",SUMIFS(Carga_Reales!$E:$E,Carga_Reales!$A:$A,$A101,Carga_Reales!$B:$B,$C101),SUMIFS(Proyecciones!$E:$E,Proyecciones!$A:$A,$A101,Proyecciones!$B:$B,$C101))*IF($B101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101" s="16" t="n">
        <x:f>IF($B101="REAL",SUMIFS(Carga_Reales!$F:$F,Carga_Reales!$A:$A,$A101,Carga_Reales!$B:$B,$C101),SUMIFS(Proyecciones!$F:$F,Proyecciones!$A:$A,$A101,Proyecciones!$B:$B,$C101))*IF($B101="REAL",1,IF(Resumen!$B$5="Conservador",Supuestos!$B$5,IF(Resumen!$B$5="Optimista",Supuestos!$B$7,Supuestos!$B$6)))</x:f>
        <x:v>34850000</x:v>
      </x:c>
      <x:c r="H101" s="16" t="n">
        <x:f>IF($B101="REAL",SUMIFS(Carga_Reales!$G:$G,Carga_Reales!$A:$A,$A101,Carga_Reales!$B:$B,$C101),SUMIFS(Proyecciones!$G:$G,Proyecciones!$A:$A,$A101,Proyecciones!$B:$B,$C101))*IF($B101="REAL",1,IF(Resumen!$B$5="Conservador",Supuestos!$B$5,IF(Resumen!$B$5="Optimista",Supuestos!$B$7,Supuestos!$B$6)))</x:f>
        <x:v>0</x:v>
      </x:c>
      <x:c r="I101" s="16" t="n">
        <x:f>IF($B101="REAL",SUMIFS(Carga_Reales!$H:$H,Carga_Reales!$A:$A,$A101,Carga_Reales!$B:$B,$C101),SUMIFS(Proyecciones!$H:$H,Proyecciones!$A:$A,$A101,Proyecciones!$B:$B,$C101))*IF($B101="REAL",1,IF(Resumen!$B$5="Conservador",Supuestos!$B$5,IF(Resumen!$B$5="Optimista",Supuestos!$B$7,Supuestos!$B$6)))</x:f>
        <x:v>0</x:v>
      </x:c>
      <x:c r="J101" s="16" t="n">
        <x:f>IF($B101="REAL",SUMIFS(Carga_Reales!$I:$I,Carga_Reales!$A:$A,$A101,Carga_Reales!$B:$B,$C101),SUMIFS(Proyecciones!$I:$I,Proyecciones!$A:$A,$A101,Proyecciones!$B:$B,$C101))*IF($B101="REAL",1,IF(Resumen!$B$5="Conservador",Supuestos!$B$5,IF(Resumen!$B$5="Optimista",Supuestos!$B$7,Supuestos!$B$6)))</x:f>
        <x:v>0</x:v>
      </x:c>
      <x:c r="K101" s="16" t="n">
        <x:f>IF($B101="REAL",SUMIFS(Carga_Reales!$J:$J,Carga_Reales!$A:$A,$A101,Carga_Reales!$B:$B,$C101),SUMIFS(Proyecciones!$J:$J,Proyecciones!$A:$A,$A101,Proyecciones!$B:$B,$C101))*IF($B101="REAL",1,IF(Resumen!$B$5="Conservador",Supuestos!$B$5,IF(Resumen!$B$5="Optimista",Supuestos!$B$7,Supuestos!$B$6)))</x:f>
        <x:v>105319304.691171</x:v>
      </x:c>
      <x:c r="L101" s="16" t="n">
        <x:f>IF($B101="REAL",SUMIFS(Carga_Reales!$K:$K,Carga_Reales!$A:$A,$A101,Carga_Reales!$B:$B,$C101),SUMIFS(Proyecciones!$K:$K,Proyecciones!$A:$A,$A101,Proyecciones!$B:$B,$C101))*IF($B101="REAL",1,IF(Resumen!$B$5="Conservador",Supuestos!$E$5,IF(Resumen!$B$5="Optimista",Supuestos!$E$7,Supuestos!$E$6)))</x:f>
        <x:v>90774371.830064</x:v>
      </x:c>
      <x:c r="M101" s="16" t="n">
        <x:f>IF($B101="REAL",SUMIFS(Carga_Reales!$L:$L,Carga_Reales!$A:$A,$A101,Carga_Reales!$B:$B,$C101),SUMIFS(Proyecciones!$L:$L,Proyecciones!$A:$A,$A101,Proyecciones!$B:$B,$C101))*IF($B101="REAL",1,IF(Resumen!$B$5="Conservador",Supuestos!$E$5,IF(Resumen!$B$5="Optimista",Supuestos!$E$7,Supuestos!$E$6)))</x:f>
        <x:v>54382240</x:v>
      </x:c>
      <x:c r="N101" s="16" t="n">
        <x:f>E101+G101+H101+I101+J101+K101</x:f>
        <x:v>1309072744.691171</x:v>
      </x:c>
      <x:c r="O101" s="16" t="n">
        <x:f>E101-F101+G101+H101+I101+J101+K101-L101-M101</x:f>
        <x:v>200622807.95710695</x:v>
      </x:c>
      <x:c r="P101" s="16" t="n">
        <x:f>O101-IF($B101="REAL",SUMIFS(Carga_Reales!$M:$M,Carga_Reales!$A:$A,$A101,Carga_Reales!$B:$B,$C101),SUMIFS(Proyecciones!$M:$M,Proyecciones!$A:$A,$A101,Proyecciones!$B:$B,$C101))-IF($B101="REAL",SUMIFS(Carga_Reales!$N:$N,Carga_Reales!$A:$A,$A101,Carga_Reales!$B:$B,$C101),SUMIFS(Proyecciones!$N:$N,Proyecciones!$A:$A,$A101,Proyecciones!$B:$B,$C101))</x:f>
        <x:v>127804825.17211945</x:v>
      </x:c>
      <x:c r="Q101" s="16" t="n">
        <x:f>IF($B101="REAL",SUMIFS(Carga_Reales!$O:$O,Carga_Reales!$A:$A,$A101,Carga_Reales!$B:$B,$C101),SUMIFS(Proyecciones!$O:$O,Proyecciones!$A:$A,$A101,Proyecciones!$B:$B,$C101))</x:f>
        <x:v>0</x:v>
      </x:c>
      <x:c r="R101" s="16" t="n">
        <x:f>O101-Q101</x:f>
        <x:v>200622807.95710695</x:v>
      </x:c>
      <x:c r="S101" s="16" t="n">
        <x:f>E101-F101</x:f>
        <x:v>205610115.09599996</x:v>
      </x:c>
      <x:c r="T101" s="16" t="n">
        <x:f>L101+M101</x:f>
        <x:v>145156611.830064</x:v>
      </x:c>
      <x:c r="U101" t="n">
        <x:f>IFERROR((L101+M101)/MAX(1,(S101+G101)/MAX(1,D101)),0)</x:f>
        <x:v>123.75069110019788</x:v>
      </x:c>
    </x:row>
    <x:row r="102">
      <x:c r="A102" s="26" t="n">
        <x:v>46997</x:v>
      </x:c>
      <x:c r="B102" t="str">
        <x:f>IF(EOMONTH($A102,0)&lt;=Resumen!$B$4,"REAL","PROYECTADO")</x:f>
        <x:v>PROYECTADO</x:v>
      </x:c>
      <x:c r="C102" t="str">
        <x:v>Verificarte</x:v>
      </x:c>
      <x:c r="D102" s="15" t="n">
        <x:f>IF($B102="REAL",SUMIFS(Carga_Reales!$C:$C,Carga_Reales!$A:$A,$A102,Carga_Reales!$B:$B,$C102),SUMIFS(Proyecciones!$C:$C,Proyecciones!$A:$A,$A102,Proyecciones!$B:$B,$C102))*IF($B102="REAL",1,IF(Resumen!$B$5="Conservador",Supuestos!$B$5,IF(Resumen!$B$5="Optimista",Supuestos!$B$7,Supuestos!$B$6)))</x:f>
        <x:v>213.5</x:v>
      </x:c>
      <x:c r="E102" s="16" t="n">
        <x:f>IF($B102="REAL",SUMIFS(Carga_Reales!$D:$D,Carga_Reales!$A:$A,$A102,Carga_Reales!$B:$B,$C102),SUMIFS(Proyecciones!$D:$D,Proyecciones!$A:$A,$A102,Proyecciones!$B:$B,$C102))*IF($B102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102" s="16" t="n">
        <x:f>IF($B102="REAL",SUMIFS(Carga_Reales!$E:$E,Carga_Reales!$A:$A,$A102,Carga_Reales!$B:$B,$C102),SUMIFS(Proyecciones!$E:$E,Proyecciones!$A:$A,$A102,Proyecciones!$B:$B,$C102))*IF($B102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102" s="16" t="n">
        <x:f>IF($B102="REAL",SUMIFS(Carga_Reales!$F:$F,Carga_Reales!$A:$A,$A102,Carga_Reales!$B:$B,$C102),SUMIFS(Proyecciones!$F:$F,Proyecciones!$A:$A,$A102,Proyecciones!$B:$B,$C102))*IF($B102="REAL",1,IF(Resumen!$B$5="Conservador",Supuestos!$B$5,IF(Resumen!$B$5="Optimista",Supuestos!$B$7,Supuestos!$B$6)))</x:f>
        <x:v>26858300</x:v>
      </x:c>
      <x:c r="H102" s="16" t="n">
        <x:f>IF($B102="REAL",SUMIFS(Carga_Reales!$G:$G,Carga_Reales!$A:$A,$A102,Carga_Reales!$B:$B,$C102),SUMIFS(Proyecciones!$G:$G,Proyecciones!$A:$A,$A102,Proyecciones!$B:$B,$C102))*IF($B102="REAL",1,IF(Resumen!$B$5="Conservador",Supuestos!$B$5,IF(Resumen!$B$5="Optimista",Supuestos!$B$7,Supuestos!$B$6)))</x:f>
        <x:v>0</x:v>
      </x:c>
      <x:c r="I102" s="16" t="n">
        <x:f>IF($B102="REAL",SUMIFS(Carga_Reales!$H:$H,Carga_Reales!$A:$A,$A102,Carga_Reales!$B:$B,$C102),SUMIFS(Proyecciones!$H:$H,Proyecciones!$A:$A,$A102,Proyecciones!$B:$B,$C102))*IF($B102="REAL",1,IF(Resumen!$B$5="Conservador",Supuestos!$B$5,IF(Resumen!$B$5="Optimista",Supuestos!$B$7,Supuestos!$B$6)))</x:f>
        <x:v>0</x:v>
      </x:c>
      <x:c r="J102" s="16" t="n">
        <x:f>IF($B102="REAL",SUMIFS(Carga_Reales!$I:$I,Carga_Reales!$A:$A,$A102,Carga_Reales!$B:$B,$C102),SUMIFS(Proyecciones!$I:$I,Proyecciones!$A:$A,$A102,Proyecciones!$B:$B,$C102))*IF($B102="REAL",1,IF(Resumen!$B$5="Conservador",Supuestos!$B$5,IF(Resumen!$B$5="Optimista",Supuestos!$B$7,Supuestos!$B$6)))</x:f>
        <x:v>0</x:v>
      </x:c>
      <x:c r="K102" s="16" t="n">
        <x:f>IF($B102="REAL",SUMIFS(Carga_Reales!$J:$J,Carga_Reales!$A:$A,$A102,Carga_Reales!$B:$B,$C102),SUMIFS(Proyecciones!$J:$J,Proyecciones!$A:$A,$A102,Proyecciones!$B:$B,$C102))*IF($B102="REAL",1,IF(Resumen!$B$5="Conservador",Supuestos!$B$5,IF(Resumen!$B$5="Optimista",Supuestos!$B$7,Supuestos!$B$6)))</x:f>
        <x:v>0</x:v>
      </x:c>
      <x:c r="L102" s="16" t="n">
        <x:f>IF($B102="REAL",SUMIFS(Carga_Reales!$K:$K,Carga_Reales!$A:$A,$A102,Carga_Reales!$B:$B,$C102),SUMIFS(Proyecciones!$K:$K,Proyecciones!$A:$A,$A102,Proyecciones!$B:$B,$C102))*IF($B102="REAL",1,IF(Resumen!$B$5="Conservador",Supuestos!$E$5,IF(Resumen!$B$5="Optimista",Supuestos!$E$7,Supuestos!$E$6)))</x:f>
        <x:v>73089161.6281478</x:v>
      </x:c>
      <x:c r="M102" s="16" t="n">
        <x:f>IF($B102="REAL",SUMIFS(Carga_Reales!$L:$L,Carga_Reales!$A:$A,$A102,Carga_Reales!$B:$B,$C102),SUMIFS(Proyecciones!$L:$L,Proyecciones!$A:$A,$A102,Proyecciones!$B:$B,$C102))*IF($B102="REAL",1,IF(Resumen!$B$5="Conservador",Supuestos!$E$5,IF(Resumen!$B$5="Optimista",Supuestos!$E$7,Supuestos!$E$6)))</x:f>
        <x:v>79775600</x:v>
      </x:c>
      <x:c r="N102" s="16" t="n">
        <x:f>E102+G102+H102+I102+J102+K102</x:f>
        <x:v>2018293000.5</x:v>
      </x:c>
      <x:c r="O102" s="16" t="n">
        <x:f>E102-F102+G102+H102+I102+J102+K102-L102-M102</x:f>
        <x:v>202580263.9543522</x:v>
      </x:c>
      <x:c r="P102" s="16" t="n">
        <x:f>O102-IF($B102="REAL",SUMIFS(Carga_Reales!$M:$M,Carga_Reales!$A:$A,$A102,Carga_Reales!$B:$B,$C102),SUMIFS(Proyecciones!$M:$M,Proyecciones!$A:$A,$A102,Proyecciones!$B:$B,$C102))-IF($B102="REAL",SUMIFS(Carga_Reales!$N:$N,Carga_Reales!$A:$A,$A102,Carga_Reales!$B:$B,$C102),SUMIFS(Proyecciones!$N:$N,Proyecciones!$A:$A,$A102,Proyecciones!$B:$B,$C102))</x:f>
        <x:v>129077171.5703288</x:v>
      </x:c>
      <x:c r="Q102" s="16" t="n">
        <x:f>IF($B102="REAL",SUMIFS(Carga_Reales!$O:$O,Carga_Reales!$A:$A,$A102,Carga_Reales!$B:$B,$C102),SUMIFS(Proyecciones!$O:$O,Proyecciones!$A:$A,$A102,Proyecciones!$B:$B,$C102))</x:f>
        <x:v>0</x:v>
      </x:c>
      <x:c r="R102" s="16" t="n">
        <x:f>O102-Q102</x:f>
        <x:v>202580263.9543522</x:v>
      </x:c>
      <x:c r="S102" s="16" t="n">
        <x:f>E102-F102</x:f>
        <x:v>328586725.5825</x:v>
      </x:c>
      <x:c r="T102" s="16" t="n">
        <x:f>L102+M102</x:f>
        <x:v>152864761.62814778</x:v>
      </x:c>
      <x:c r="U102" t="n">
        <x:f>IFERROR((L102+M102)/MAX(1,(S102+G102)/MAX(1,D102)),0)</x:f>
        <x:v>91.81905571508548</x:v>
      </x:c>
    </x:row>
    <x:row r="103">
      <x:c r="A103" s="26" t="n">
        <x:v>46997</x:v>
      </x:c>
      <x:c r="B103" t="str">
        <x:f>IF(EOMONTH($A103,0)&lt;=Resumen!$B$4,"REAL","PROYECTADO")</x:f>
        <x:v>PROYECTADO</x:v>
      </x:c>
      <x:c r="C103" t="str">
        <x:v>TuClick</x:v>
      </x:c>
      <x:c r="D103" s="15" t="n">
        <x:f>IF($B103="REAL",SUMIFS(Carga_Reales!$C:$C,Carga_Reales!$A:$A,$A103,Carga_Reales!$B:$B,$C103),SUMIFS(Proyecciones!$C:$C,Proyecciones!$A:$A,$A103,Proyecciones!$B:$B,$C103))*IF($B103="REAL",1,IF(Resumen!$B$5="Conservador",Supuestos!$B$5,IF(Resumen!$B$5="Optimista",Supuestos!$B$7,Supuestos!$B$6)))</x:f>
        <x:v>81.5</x:v>
      </x:c>
      <x:c r="E103" s="16" t="n">
        <x:f>IF($B103="REAL",SUMIFS(Carga_Reales!$D:$D,Carga_Reales!$A:$A,$A103,Carga_Reales!$B:$B,$C103),SUMIFS(Proyecciones!$D:$D,Proyecciones!$A:$A,$A103,Proyecciones!$B:$B,$C103))*IF($B103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103" s="16" t="n">
        <x:f>IF($B103="REAL",SUMIFS(Carga_Reales!$E:$E,Carga_Reales!$A:$A,$A103,Carga_Reales!$B:$B,$C103),SUMIFS(Proyecciones!$E:$E,Proyecciones!$A:$A,$A103,Proyecciones!$B:$B,$C103))*IF($B103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103" s="16" t="n">
        <x:f>IF($B103="REAL",SUMIFS(Carga_Reales!$F:$F,Carga_Reales!$A:$A,$A103,Carga_Reales!$B:$B,$C103),SUMIFS(Proyecciones!$F:$F,Proyecciones!$A:$A,$A103,Proyecciones!$B:$B,$C103))*IF($B103="REAL",1,IF(Resumen!$B$5="Conservador",Supuestos!$B$5,IF(Resumen!$B$5="Optimista",Supuestos!$B$7,Supuestos!$B$6)))</x:f>
        <x:v>18186725</x:v>
      </x:c>
      <x:c r="H103" s="16" t="n">
        <x:f>IF($B103="REAL",SUMIFS(Carga_Reales!$G:$G,Carga_Reales!$A:$A,$A103,Carga_Reales!$B:$B,$C103),SUMIFS(Proyecciones!$G:$G,Proyecciones!$A:$A,$A103,Proyecciones!$B:$B,$C103))*IF($B103="REAL",1,IF(Resumen!$B$5="Conservador",Supuestos!$B$5,IF(Resumen!$B$5="Optimista",Supuestos!$B$7,Supuestos!$B$6)))</x:f>
        <x:v>0</x:v>
      </x:c>
      <x:c r="I103" s="16" t="n">
        <x:f>IF($B103="REAL",SUMIFS(Carga_Reales!$H:$H,Carga_Reales!$A:$A,$A103,Carga_Reales!$B:$B,$C103),SUMIFS(Proyecciones!$H:$H,Proyecciones!$A:$A,$A103,Proyecciones!$B:$B,$C103))*IF($B103="REAL",1,IF(Resumen!$B$5="Conservador",Supuestos!$B$5,IF(Resumen!$B$5="Optimista",Supuestos!$B$7,Supuestos!$B$6)))</x:f>
        <x:v>0</x:v>
      </x:c>
      <x:c r="J103" s="16" t="n">
        <x:f>IF($B103="REAL",SUMIFS(Carga_Reales!$I:$I,Carga_Reales!$A:$A,$A103,Carga_Reales!$B:$B,$C103),SUMIFS(Proyecciones!$I:$I,Proyecciones!$A:$A,$A103,Proyecciones!$B:$B,$C103))*IF($B103="REAL",1,IF(Resumen!$B$5="Conservador",Supuestos!$B$5,IF(Resumen!$B$5="Optimista",Supuestos!$B$7,Supuestos!$B$6)))</x:f>
        <x:v>0</x:v>
      </x:c>
      <x:c r="K103" s="16" t="n">
        <x:f>IF($B103="REAL",SUMIFS(Carga_Reales!$J:$J,Carga_Reales!$A:$A,$A103,Carga_Reales!$B:$B,$C103),SUMIFS(Proyecciones!$J:$J,Proyecciones!$A:$A,$A103,Proyecciones!$B:$B,$C103))*IF($B103="REAL",1,IF(Resumen!$B$5="Conservador",Supuestos!$B$5,IF(Resumen!$B$5="Optimista",Supuestos!$B$7,Supuestos!$B$6)))</x:f>
        <x:v>0</x:v>
      </x:c>
      <x:c r="L103" s="16" t="n">
        <x:f>IF($B103="REAL",SUMIFS(Carga_Reales!$K:$K,Carga_Reales!$A:$A,$A103,Carga_Reales!$B:$B,$C103),SUMIFS(Proyecciones!$K:$K,Proyecciones!$A:$A,$A103,Proyecciones!$B:$B,$C103))*IF($B103="REAL",1,IF(Resumen!$B$5="Conservador",Supuestos!$E$5,IF(Resumen!$B$5="Optimista",Supuestos!$E$7,Supuestos!$E$6)))</x:f>
        <x:v>31865823.5635883</x:v>
      </x:c>
      <x:c r="M103" s="16" t="n">
        <x:f>IF($B103="REAL",SUMIFS(Carga_Reales!$L:$L,Carga_Reales!$A:$A,$A103,Carga_Reales!$B:$B,$C103),SUMIFS(Proyecciones!$L:$L,Proyecciones!$A:$A,$A103,Proyecciones!$B:$B,$C103))*IF($B103="REAL",1,IF(Resumen!$B$5="Conservador",Supuestos!$E$5,IF(Resumen!$B$5="Optimista",Supuestos!$E$7,Supuestos!$E$6)))</x:f>
        <x:v>44944000</x:v>
      </x:c>
      <x:c r="N103" s="16" t="n">
        <x:f>E103+G103+H103+I103+J103+K103</x:f>
        <x:v>587305055.5</x:v>
      </x:c>
      <x:c r="O103" s="16" t="n">
        <x:f>E103-F103+G103+H103+I103+J103+K103-L103-M103</x:f>
        <x:v>23842147.52586171</x:v>
      </x:c>
      <x:c r="P103" s="16" t="n">
        <x:f>O103-IF($B103="REAL",SUMIFS(Carga_Reales!$M:$M,Carga_Reales!$A:$A,$A103,Carga_Reales!$B:$B,$C103),SUMIFS(Proyecciones!$M:$M,Proyecciones!$A:$A,$A103,Proyecciones!$B:$B,$C103))-IF($B103="REAL",SUMIFS(Carga_Reales!$N:$N,Carga_Reales!$A:$A,$A103,Carga_Reales!$B:$B,$C103),SUMIFS(Proyecciones!$N:$N,Proyecciones!$A:$A,$A103,Proyecciones!$B:$B,$C103))</x:f>
        <x:v>14197395.891810112</x:v>
      </x:c>
      <x:c r="Q103" s="16" t="n">
        <x:f>IF($B103="REAL",SUMIFS(Carga_Reales!$O:$O,Carga_Reales!$A:$A,$A103,Carga_Reales!$B:$B,$C103),SUMIFS(Proyecciones!$O:$O,Proyecciones!$A:$A,$A103,Proyecciones!$B:$B,$C103))</x:f>
        <x:v>0</x:v>
      </x:c>
      <x:c r="R103" s="16" t="n">
        <x:f>O103-Q103</x:f>
        <x:v>23842147.52586171</x:v>
      </x:c>
      <x:c r="S103" s="16" t="n">
        <x:f>E103-F103</x:f>
        <x:v>82465246.08945</x:v>
      </x:c>
      <x:c r="T103" s="16" t="n">
        <x:f>L103+M103</x:f>
        <x:v>76809823.56358829</x:v>
      </x:c>
      <x:c r="U103" t="n">
        <x:f>IFERROR((L103+M103)/MAX(1,(S103+G103)/MAX(1,D103)),0)</x:f>
        <x:v>62.194515941164696</x:v>
      </x:c>
    </x:row>
    <x:row r="104">
      <x:c r="A104" s="26" t="n">
        <x:v>47027</x:v>
      </x:c>
      <x:c r="B104" t="str">
        <x:f>IF(EOMONTH($A104,0)&lt;=Resumen!$B$4,"REAL","PROYECTADO")</x:f>
        <x:v>PROYECTADO</x:v>
      </x:c>
      <x:c r="C104" t="str">
        <x:v>Moto para Todos</x:v>
      </x:c>
      <x:c r="D104" s="15" t="n">
        <x:f>IF($B104="REAL",SUMIFS(Carga_Reales!$C:$C,Carga_Reales!$A:$A,$A104,Carga_Reales!$B:$B,$C104),SUMIFS(Proyecciones!$C:$C,Proyecciones!$A:$A,$A104,Proyecciones!$B:$B,$C104))*IF($B104="REAL",1,IF(Resumen!$B$5="Conservador",Supuestos!$B$5,IF(Resumen!$B$5="Optimista",Supuestos!$B$7,Supuestos!$B$6)))</x:f>
        <x:v>205</x:v>
      </x:c>
      <x:c r="E104" s="16" t="n">
        <x:f>IF($B104="REAL",SUMIFS(Carga_Reales!$D:$D,Carga_Reales!$A:$A,$A104,Carga_Reales!$B:$B,$C104),SUMIFS(Proyecciones!$D:$D,Proyecciones!$A:$A,$A104,Proyecciones!$B:$B,$C104))*IF($B104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104" s="16" t="n">
        <x:f>IF($B104="REAL",SUMIFS(Carga_Reales!$E:$E,Carga_Reales!$A:$A,$A104,Carga_Reales!$B:$B,$C104),SUMIFS(Proyecciones!$E:$E,Proyecciones!$A:$A,$A104,Proyecciones!$B:$B,$C104))*IF($B104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104" s="16" t="n">
        <x:f>IF($B104="REAL",SUMIFS(Carga_Reales!$F:$F,Carga_Reales!$A:$A,$A104,Carga_Reales!$B:$B,$C104),SUMIFS(Proyecciones!$F:$F,Proyecciones!$A:$A,$A104,Proyecciones!$B:$B,$C104))*IF($B104="REAL",1,IF(Resumen!$B$5="Conservador",Supuestos!$B$5,IF(Resumen!$B$5="Optimista",Supuestos!$B$7,Supuestos!$B$6)))</x:f>
        <x:v>34850000</x:v>
      </x:c>
      <x:c r="H104" s="16" t="n">
        <x:f>IF($B104="REAL",SUMIFS(Carga_Reales!$G:$G,Carga_Reales!$A:$A,$A104,Carga_Reales!$B:$B,$C104),SUMIFS(Proyecciones!$G:$G,Proyecciones!$A:$A,$A104,Proyecciones!$B:$B,$C104))*IF($B104="REAL",1,IF(Resumen!$B$5="Conservador",Supuestos!$B$5,IF(Resumen!$B$5="Optimista",Supuestos!$B$7,Supuestos!$B$6)))</x:f>
        <x:v>0</x:v>
      </x:c>
      <x:c r="I104" s="16" t="n">
        <x:f>IF($B104="REAL",SUMIFS(Carga_Reales!$H:$H,Carga_Reales!$A:$A,$A104,Carga_Reales!$B:$B,$C104),SUMIFS(Proyecciones!$H:$H,Proyecciones!$A:$A,$A104,Proyecciones!$B:$B,$C104))*IF($B104="REAL",1,IF(Resumen!$B$5="Conservador",Supuestos!$B$5,IF(Resumen!$B$5="Optimista",Supuestos!$B$7,Supuestos!$B$6)))</x:f>
        <x:v>0</x:v>
      </x:c>
      <x:c r="J104" s="16" t="n">
        <x:f>IF($B104="REAL",SUMIFS(Carga_Reales!$I:$I,Carga_Reales!$A:$A,$A104,Carga_Reales!$B:$B,$C104),SUMIFS(Proyecciones!$I:$I,Proyecciones!$A:$A,$A104,Proyecciones!$B:$B,$C104))*IF($B104="REAL",1,IF(Resumen!$B$5="Conservador",Supuestos!$B$5,IF(Resumen!$B$5="Optimista",Supuestos!$B$7,Supuestos!$B$6)))</x:f>
        <x:v>0</x:v>
      </x:c>
      <x:c r="K104" s="16" t="n">
        <x:f>IF($B104="REAL",SUMIFS(Carga_Reales!$J:$J,Carga_Reales!$A:$A,$A104,Carga_Reales!$B:$B,$C104),SUMIFS(Proyecciones!$J:$J,Proyecciones!$A:$A,$A104,Proyecciones!$B:$B,$C104))*IF($B104="REAL",1,IF(Resumen!$B$5="Conservador",Supuestos!$B$5,IF(Resumen!$B$5="Optimista",Supuestos!$B$7,Supuestos!$B$6)))</x:f>
        <x:v>108026000.329039</x:v>
      </x:c>
      <x:c r="L104" s="16" t="n">
        <x:f>IF($B104="REAL",SUMIFS(Carga_Reales!$K:$K,Carga_Reales!$A:$A,$A104,Carga_Reales!$B:$B,$C104),SUMIFS(Proyecciones!$K:$K,Proyecciones!$A:$A,$A104,Proyecciones!$B:$B,$C104))*IF($B104="REAL",1,IF(Resumen!$B$5="Conservador",Supuestos!$E$5,IF(Resumen!$B$5="Optimista",Supuestos!$E$7,Supuestos!$E$6)))</x:f>
        <x:v>90774371.830064</x:v>
      </x:c>
      <x:c r="M104" s="16" t="n">
        <x:f>IF($B104="REAL",SUMIFS(Carga_Reales!$L:$L,Carga_Reales!$A:$A,$A104,Carga_Reales!$B:$B,$C104),SUMIFS(Proyecciones!$L:$L,Proyecciones!$A:$A,$A104,Proyecciones!$B:$B,$C104))*IF($B104="REAL",1,IF(Resumen!$B$5="Conservador",Supuestos!$E$5,IF(Resumen!$B$5="Optimista",Supuestos!$E$7,Supuestos!$E$6)))</x:f>
        <x:v>54382240</x:v>
      </x:c>
      <x:c r="N104" s="16" t="n">
        <x:f>E104+G104+H104+I104+J104+K104</x:f>
        <x:v>1311779440.329039</x:v>
      </x:c>
      <x:c r="O104" s="16" t="n">
        <x:f>E104-F104+G104+H104+I104+J104+K104-L104-M104</x:f>
        <x:v>203329503.59497494</x:v>
      </x:c>
      <x:c r="P104" s="16" t="n">
        <x:f>O104-IF($B104="REAL",SUMIFS(Carga_Reales!$M:$M,Carga_Reales!$A:$A,$A104,Carga_Reales!$B:$B,$C104),SUMIFS(Proyecciones!$M:$M,Proyecciones!$A:$A,$A104,Proyecciones!$B:$B,$C104))-IF($B104="REAL",SUMIFS(Carga_Reales!$N:$N,Carga_Reales!$A:$A,$A104,Carga_Reales!$B:$B,$C104),SUMIFS(Proyecciones!$N:$N,Proyecciones!$A:$A,$A104,Proyecciones!$B:$B,$C104))</x:f>
        <x:v>129564177.33673364</x:v>
      </x:c>
      <x:c r="Q104" s="16" t="n">
        <x:f>IF($B104="REAL",SUMIFS(Carga_Reales!$O:$O,Carga_Reales!$A:$A,$A104,Carga_Reales!$B:$B,$C104),SUMIFS(Proyecciones!$O:$O,Proyecciones!$A:$A,$A104,Proyecciones!$B:$B,$C104))</x:f>
        <x:v>0</x:v>
      </x:c>
      <x:c r="R104" s="16" t="n">
        <x:f>O104-Q104</x:f>
        <x:v>203329503.59497494</x:v>
      </x:c>
      <x:c r="S104" s="16" t="n">
        <x:f>E104-F104</x:f>
        <x:v>205610115.09599996</x:v>
      </x:c>
      <x:c r="T104" s="16" t="n">
        <x:f>L104+M104</x:f>
        <x:v>145156611.830064</x:v>
      </x:c>
      <x:c r="U104" t="n">
        <x:f>IFERROR((L104+M104)/MAX(1,(S104+G104)/MAX(1,D104)),0)</x:f>
        <x:v>123.75069110019788</x:v>
      </x:c>
    </x:row>
    <x:row r="105">
      <x:c r="A105" s="26" t="n">
        <x:v>47027</x:v>
      </x:c>
      <x:c r="B105" t="str">
        <x:f>IF(EOMONTH($A105,0)&lt;=Resumen!$B$4,"REAL","PROYECTADO")</x:f>
        <x:v>PROYECTADO</x:v>
      </x:c>
      <x:c r="C105" t="str">
        <x:v>Verificarte</x:v>
      </x:c>
      <x:c r="D105" s="15" t="n">
        <x:f>IF($B105="REAL",SUMIFS(Carga_Reales!$C:$C,Carga_Reales!$A:$A,$A105,Carga_Reales!$B:$B,$C105),SUMIFS(Proyecciones!$C:$C,Proyecciones!$A:$A,$A105,Proyecciones!$B:$B,$C105))*IF($B105="REAL",1,IF(Resumen!$B$5="Conservador",Supuestos!$B$5,IF(Resumen!$B$5="Optimista",Supuestos!$B$7,Supuestos!$B$6)))</x:f>
        <x:v>213.5</x:v>
      </x:c>
      <x:c r="E105" s="16" t="n">
        <x:f>IF($B105="REAL",SUMIFS(Carga_Reales!$D:$D,Carga_Reales!$A:$A,$A105,Carga_Reales!$B:$B,$C105),SUMIFS(Proyecciones!$D:$D,Proyecciones!$A:$A,$A105,Proyecciones!$B:$B,$C105))*IF($B105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105" s="16" t="n">
        <x:f>IF($B105="REAL",SUMIFS(Carga_Reales!$E:$E,Carga_Reales!$A:$A,$A105,Carga_Reales!$B:$B,$C105),SUMIFS(Proyecciones!$E:$E,Proyecciones!$A:$A,$A105,Proyecciones!$B:$B,$C105))*IF($B105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105" s="16" t="n">
        <x:f>IF($B105="REAL",SUMIFS(Carga_Reales!$F:$F,Carga_Reales!$A:$A,$A105,Carga_Reales!$B:$B,$C105),SUMIFS(Proyecciones!$F:$F,Proyecciones!$A:$A,$A105,Proyecciones!$B:$B,$C105))*IF($B105="REAL",1,IF(Resumen!$B$5="Conservador",Supuestos!$B$5,IF(Resumen!$B$5="Optimista",Supuestos!$B$7,Supuestos!$B$6)))</x:f>
        <x:v>26858300</x:v>
      </x:c>
      <x:c r="H105" s="16" t="n">
        <x:f>IF($B105="REAL",SUMIFS(Carga_Reales!$G:$G,Carga_Reales!$A:$A,$A105,Carga_Reales!$B:$B,$C105),SUMIFS(Proyecciones!$G:$G,Proyecciones!$A:$A,$A105,Proyecciones!$B:$B,$C105))*IF($B105="REAL",1,IF(Resumen!$B$5="Conservador",Supuestos!$B$5,IF(Resumen!$B$5="Optimista",Supuestos!$B$7,Supuestos!$B$6)))</x:f>
        <x:v>0</x:v>
      </x:c>
      <x:c r="I105" s="16" t="n">
        <x:f>IF($B105="REAL",SUMIFS(Carga_Reales!$H:$H,Carga_Reales!$A:$A,$A105,Carga_Reales!$B:$B,$C105),SUMIFS(Proyecciones!$H:$H,Proyecciones!$A:$A,$A105,Proyecciones!$B:$B,$C105))*IF($B105="REAL",1,IF(Resumen!$B$5="Conservador",Supuestos!$B$5,IF(Resumen!$B$5="Optimista",Supuestos!$B$7,Supuestos!$B$6)))</x:f>
        <x:v>0</x:v>
      </x:c>
      <x:c r="J105" s="16" t="n">
        <x:f>IF($B105="REAL",SUMIFS(Carga_Reales!$I:$I,Carga_Reales!$A:$A,$A105,Carga_Reales!$B:$B,$C105),SUMIFS(Proyecciones!$I:$I,Proyecciones!$A:$A,$A105,Proyecciones!$B:$B,$C105))*IF($B105="REAL",1,IF(Resumen!$B$5="Conservador",Supuestos!$B$5,IF(Resumen!$B$5="Optimista",Supuestos!$B$7,Supuestos!$B$6)))</x:f>
        <x:v>0</x:v>
      </x:c>
      <x:c r="K105" s="16" t="n">
        <x:f>IF($B105="REAL",SUMIFS(Carga_Reales!$J:$J,Carga_Reales!$A:$A,$A105,Carga_Reales!$B:$B,$C105),SUMIFS(Proyecciones!$J:$J,Proyecciones!$A:$A,$A105,Proyecciones!$B:$B,$C105))*IF($B105="REAL",1,IF(Resumen!$B$5="Conservador",Supuestos!$B$5,IF(Resumen!$B$5="Optimista",Supuestos!$B$7,Supuestos!$B$6)))</x:f>
        <x:v>0</x:v>
      </x:c>
      <x:c r="L105" s="16" t="n">
        <x:f>IF($B105="REAL",SUMIFS(Carga_Reales!$K:$K,Carga_Reales!$A:$A,$A105,Carga_Reales!$B:$B,$C105),SUMIFS(Proyecciones!$K:$K,Proyecciones!$A:$A,$A105,Proyecciones!$B:$B,$C105))*IF($B105="REAL",1,IF(Resumen!$B$5="Conservador",Supuestos!$E$5,IF(Resumen!$B$5="Optimista",Supuestos!$E$7,Supuestos!$E$6)))</x:f>
        <x:v>73089161.6281478</x:v>
      </x:c>
      <x:c r="M105" s="16" t="n">
        <x:f>IF($B105="REAL",SUMIFS(Carga_Reales!$L:$L,Carga_Reales!$A:$A,$A105,Carga_Reales!$B:$B,$C105),SUMIFS(Proyecciones!$L:$L,Proyecciones!$A:$A,$A105,Proyecciones!$B:$B,$C105))*IF($B105="REAL",1,IF(Resumen!$B$5="Conservador",Supuestos!$E$5,IF(Resumen!$B$5="Optimista",Supuestos!$E$7,Supuestos!$E$6)))</x:f>
        <x:v>79775600</x:v>
      </x:c>
      <x:c r="N105" s="16" t="n">
        <x:f>E105+G105+H105+I105+J105+K105</x:f>
        <x:v>2018293000.5</x:v>
      </x:c>
      <x:c r="O105" s="16" t="n">
        <x:f>E105-F105+G105+H105+I105+J105+K105-L105-M105</x:f>
        <x:v>202580263.9543522</x:v>
      </x:c>
      <x:c r="P105" s="16" t="n">
        <x:f>O105-IF($B105="REAL",SUMIFS(Carga_Reales!$M:$M,Carga_Reales!$A:$A,$A105,Carga_Reales!$B:$B,$C105),SUMIFS(Proyecciones!$M:$M,Proyecciones!$A:$A,$A105,Proyecciones!$B:$B,$C105))-IF($B105="REAL",SUMIFS(Carga_Reales!$N:$N,Carga_Reales!$A:$A,$A105,Carga_Reales!$B:$B,$C105),SUMIFS(Proyecciones!$N:$N,Proyecciones!$A:$A,$A105,Proyecciones!$B:$B,$C105))</x:f>
        <x:v>129077171.5703288</x:v>
      </x:c>
      <x:c r="Q105" s="16" t="n">
        <x:f>IF($B105="REAL",SUMIFS(Carga_Reales!$O:$O,Carga_Reales!$A:$A,$A105,Carga_Reales!$B:$B,$C105),SUMIFS(Proyecciones!$O:$O,Proyecciones!$A:$A,$A105,Proyecciones!$B:$B,$C105))</x:f>
        <x:v>0</x:v>
      </x:c>
      <x:c r="R105" s="16" t="n">
        <x:f>O105-Q105</x:f>
        <x:v>202580263.9543522</x:v>
      </x:c>
      <x:c r="S105" s="16" t="n">
        <x:f>E105-F105</x:f>
        <x:v>328586725.5825</x:v>
      </x:c>
      <x:c r="T105" s="16" t="n">
        <x:f>L105+M105</x:f>
        <x:v>152864761.62814778</x:v>
      </x:c>
      <x:c r="U105" t="n">
        <x:f>IFERROR((L105+M105)/MAX(1,(S105+G105)/MAX(1,D105)),0)</x:f>
        <x:v>91.81905571508548</x:v>
      </x:c>
    </x:row>
    <x:row r="106">
      <x:c r="A106" s="26" t="n">
        <x:v>47027</x:v>
      </x:c>
      <x:c r="B106" t="str">
        <x:f>IF(EOMONTH($A106,0)&lt;=Resumen!$B$4,"REAL","PROYECTADO")</x:f>
        <x:v>PROYECTADO</x:v>
      </x:c>
      <x:c r="C106" t="str">
        <x:v>TuClick</x:v>
      </x:c>
      <x:c r="D106" s="15" t="n">
        <x:f>IF($B106="REAL",SUMIFS(Carga_Reales!$C:$C,Carga_Reales!$A:$A,$A106,Carga_Reales!$B:$B,$C106),SUMIFS(Proyecciones!$C:$C,Proyecciones!$A:$A,$A106,Proyecciones!$B:$B,$C106))*IF($B106="REAL",1,IF(Resumen!$B$5="Conservador",Supuestos!$B$5,IF(Resumen!$B$5="Optimista",Supuestos!$B$7,Supuestos!$B$6)))</x:f>
        <x:v>81.5</x:v>
      </x:c>
      <x:c r="E106" s="16" t="n">
        <x:f>IF($B106="REAL",SUMIFS(Carga_Reales!$D:$D,Carga_Reales!$A:$A,$A106,Carga_Reales!$B:$B,$C106),SUMIFS(Proyecciones!$D:$D,Proyecciones!$A:$A,$A106,Proyecciones!$B:$B,$C106))*IF($B106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106" s="16" t="n">
        <x:f>IF($B106="REAL",SUMIFS(Carga_Reales!$E:$E,Carga_Reales!$A:$A,$A106,Carga_Reales!$B:$B,$C106),SUMIFS(Proyecciones!$E:$E,Proyecciones!$A:$A,$A106,Proyecciones!$B:$B,$C106))*IF($B106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106" s="16" t="n">
        <x:f>IF($B106="REAL",SUMIFS(Carga_Reales!$F:$F,Carga_Reales!$A:$A,$A106,Carga_Reales!$B:$B,$C106),SUMIFS(Proyecciones!$F:$F,Proyecciones!$A:$A,$A106,Proyecciones!$B:$B,$C106))*IF($B106="REAL",1,IF(Resumen!$B$5="Conservador",Supuestos!$B$5,IF(Resumen!$B$5="Optimista",Supuestos!$B$7,Supuestos!$B$6)))</x:f>
        <x:v>18186725</x:v>
      </x:c>
      <x:c r="H106" s="16" t="n">
        <x:f>IF($B106="REAL",SUMIFS(Carga_Reales!$G:$G,Carga_Reales!$A:$A,$A106,Carga_Reales!$B:$B,$C106),SUMIFS(Proyecciones!$G:$G,Proyecciones!$A:$A,$A106,Proyecciones!$B:$B,$C106))*IF($B106="REAL",1,IF(Resumen!$B$5="Conservador",Supuestos!$B$5,IF(Resumen!$B$5="Optimista",Supuestos!$B$7,Supuestos!$B$6)))</x:f>
        <x:v>0</x:v>
      </x:c>
      <x:c r="I106" s="16" t="n">
        <x:f>IF($B106="REAL",SUMIFS(Carga_Reales!$H:$H,Carga_Reales!$A:$A,$A106,Carga_Reales!$B:$B,$C106),SUMIFS(Proyecciones!$H:$H,Proyecciones!$A:$A,$A106,Proyecciones!$B:$B,$C106))*IF($B106="REAL",1,IF(Resumen!$B$5="Conservador",Supuestos!$B$5,IF(Resumen!$B$5="Optimista",Supuestos!$B$7,Supuestos!$B$6)))</x:f>
        <x:v>0</x:v>
      </x:c>
      <x:c r="J106" s="16" t="n">
        <x:f>IF($B106="REAL",SUMIFS(Carga_Reales!$I:$I,Carga_Reales!$A:$A,$A106,Carga_Reales!$B:$B,$C106),SUMIFS(Proyecciones!$I:$I,Proyecciones!$A:$A,$A106,Proyecciones!$B:$B,$C106))*IF($B106="REAL",1,IF(Resumen!$B$5="Conservador",Supuestos!$B$5,IF(Resumen!$B$5="Optimista",Supuestos!$B$7,Supuestos!$B$6)))</x:f>
        <x:v>0</x:v>
      </x:c>
      <x:c r="K106" s="16" t="n">
        <x:f>IF($B106="REAL",SUMIFS(Carga_Reales!$J:$J,Carga_Reales!$A:$A,$A106,Carga_Reales!$B:$B,$C106),SUMIFS(Proyecciones!$J:$J,Proyecciones!$A:$A,$A106,Proyecciones!$B:$B,$C106))*IF($B106="REAL",1,IF(Resumen!$B$5="Conservador",Supuestos!$B$5,IF(Resumen!$B$5="Optimista",Supuestos!$B$7,Supuestos!$B$6)))</x:f>
        <x:v>0</x:v>
      </x:c>
      <x:c r="L106" s="16" t="n">
        <x:f>IF($B106="REAL",SUMIFS(Carga_Reales!$K:$K,Carga_Reales!$A:$A,$A106,Carga_Reales!$B:$B,$C106),SUMIFS(Proyecciones!$K:$K,Proyecciones!$A:$A,$A106,Proyecciones!$B:$B,$C106))*IF($B106="REAL",1,IF(Resumen!$B$5="Conservador",Supuestos!$E$5,IF(Resumen!$B$5="Optimista",Supuestos!$E$7,Supuestos!$E$6)))</x:f>
        <x:v>31865823.5635883</x:v>
      </x:c>
      <x:c r="M106" s="16" t="n">
        <x:f>IF($B106="REAL",SUMIFS(Carga_Reales!$L:$L,Carga_Reales!$A:$A,$A106,Carga_Reales!$B:$B,$C106),SUMIFS(Proyecciones!$L:$L,Proyecciones!$A:$A,$A106,Proyecciones!$B:$B,$C106))*IF($B106="REAL",1,IF(Resumen!$B$5="Conservador",Supuestos!$E$5,IF(Resumen!$B$5="Optimista",Supuestos!$E$7,Supuestos!$E$6)))</x:f>
        <x:v>44944000</x:v>
      </x:c>
      <x:c r="N106" s="16" t="n">
        <x:f>E106+G106+H106+I106+J106+K106</x:f>
        <x:v>587305055.5</x:v>
      </x:c>
      <x:c r="O106" s="16" t="n">
        <x:f>E106-F106+G106+H106+I106+J106+K106-L106-M106</x:f>
        <x:v>23842147.52586171</x:v>
      </x:c>
      <x:c r="P106" s="16" t="n">
        <x:f>O106-IF($B106="REAL",SUMIFS(Carga_Reales!$M:$M,Carga_Reales!$A:$A,$A106,Carga_Reales!$B:$B,$C106),SUMIFS(Proyecciones!$M:$M,Proyecciones!$A:$A,$A106,Proyecciones!$B:$B,$C106))-IF($B106="REAL",SUMIFS(Carga_Reales!$N:$N,Carga_Reales!$A:$A,$A106,Carga_Reales!$B:$B,$C106),SUMIFS(Proyecciones!$N:$N,Proyecciones!$A:$A,$A106,Proyecciones!$B:$B,$C106))</x:f>
        <x:v>14197395.891810112</x:v>
      </x:c>
      <x:c r="Q106" s="16" t="n">
        <x:f>IF($B106="REAL",SUMIFS(Carga_Reales!$O:$O,Carga_Reales!$A:$A,$A106,Carga_Reales!$B:$B,$C106),SUMIFS(Proyecciones!$O:$O,Proyecciones!$A:$A,$A106,Proyecciones!$B:$B,$C106))</x:f>
        <x:v>0</x:v>
      </x:c>
      <x:c r="R106" s="16" t="n">
        <x:f>O106-Q106</x:f>
        <x:v>23842147.52586171</x:v>
      </x:c>
      <x:c r="S106" s="16" t="n">
        <x:f>E106-F106</x:f>
        <x:v>82465246.08945</x:v>
      </x:c>
      <x:c r="T106" s="16" t="n">
        <x:f>L106+M106</x:f>
        <x:v>76809823.56358829</x:v>
      </x:c>
      <x:c r="U106" t="n">
        <x:f>IFERROR((L106+M106)/MAX(1,(S106+G106)/MAX(1,D106)),0)</x:f>
        <x:v>62.194515941164696</x:v>
      </x:c>
    </x:row>
    <x:row r="107">
      <x:c r="A107" s="26" t="n">
        <x:v>47058</x:v>
      </x:c>
      <x:c r="B107" t="str">
        <x:f>IF(EOMONTH($A107,0)&lt;=Resumen!$B$4,"REAL","PROYECTADO")</x:f>
        <x:v>PROYECTADO</x:v>
      </x:c>
      <x:c r="C107" t="str">
        <x:v>Moto para Todos</x:v>
      </x:c>
      <x:c r="D107" s="15" t="n">
        <x:f>IF($B107="REAL",SUMIFS(Carga_Reales!$C:$C,Carga_Reales!$A:$A,$A107,Carga_Reales!$B:$B,$C107),SUMIFS(Proyecciones!$C:$C,Proyecciones!$A:$A,$A107,Proyecciones!$B:$B,$C107))*IF($B107="REAL",1,IF(Resumen!$B$5="Conservador",Supuestos!$B$5,IF(Resumen!$B$5="Optimista",Supuestos!$B$7,Supuestos!$B$6)))</x:f>
        <x:v>205</x:v>
      </x:c>
      <x:c r="E107" s="16" t="n">
        <x:f>IF($B107="REAL",SUMIFS(Carga_Reales!$D:$D,Carga_Reales!$A:$A,$A107,Carga_Reales!$B:$B,$C107),SUMIFS(Proyecciones!$D:$D,Proyecciones!$A:$A,$A107,Proyecciones!$B:$B,$C107))*IF($B107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107" s="16" t="n">
        <x:f>IF($B107="REAL",SUMIFS(Carga_Reales!$E:$E,Carga_Reales!$A:$A,$A107,Carga_Reales!$B:$B,$C107),SUMIFS(Proyecciones!$E:$E,Proyecciones!$A:$A,$A107,Proyecciones!$B:$B,$C107))*IF($B107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107" s="16" t="n">
        <x:f>IF($B107="REAL",SUMIFS(Carga_Reales!$F:$F,Carga_Reales!$A:$A,$A107,Carga_Reales!$B:$B,$C107),SUMIFS(Proyecciones!$F:$F,Proyecciones!$A:$A,$A107,Proyecciones!$B:$B,$C107))*IF($B107="REAL",1,IF(Resumen!$B$5="Conservador",Supuestos!$B$5,IF(Resumen!$B$5="Optimista",Supuestos!$B$7,Supuestos!$B$6)))</x:f>
        <x:v>34850000</x:v>
      </x:c>
      <x:c r="H107" s="16" t="n">
        <x:f>IF($B107="REAL",SUMIFS(Carga_Reales!$G:$G,Carga_Reales!$A:$A,$A107,Carga_Reales!$B:$B,$C107),SUMIFS(Proyecciones!$G:$G,Proyecciones!$A:$A,$A107,Proyecciones!$B:$B,$C107))*IF($B107="REAL",1,IF(Resumen!$B$5="Conservador",Supuestos!$B$5,IF(Resumen!$B$5="Optimista",Supuestos!$B$7,Supuestos!$B$6)))</x:f>
        <x:v>0</x:v>
      </x:c>
      <x:c r="I107" s="16" t="n">
        <x:f>IF($B107="REAL",SUMIFS(Carga_Reales!$H:$H,Carga_Reales!$A:$A,$A107,Carga_Reales!$B:$B,$C107),SUMIFS(Proyecciones!$H:$H,Proyecciones!$A:$A,$A107,Proyecciones!$B:$B,$C107))*IF($B107="REAL",1,IF(Resumen!$B$5="Conservador",Supuestos!$B$5,IF(Resumen!$B$5="Optimista",Supuestos!$B$7,Supuestos!$B$6)))</x:f>
        <x:v>0</x:v>
      </x:c>
      <x:c r="J107" s="16" t="n">
        <x:f>IF($B107="REAL",SUMIFS(Carga_Reales!$I:$I,Carga_Reales!$A:$A,$A107,Carga_Reales!$B:$B,$C107),SUMIFS(Proyecciones!$I:$I,Proyecciones!$A:$A,$A107,Proyecciones!$B:$B,$C107))*IF($B107="REAL",1,IF(Resumen!$B$5="Conservador",Supuestos!$B$5,IF(Resumen!$B$5="Optimista",Supuestos!$B$7,Supuestos!$B$6)))</x:f>
        <x:v>0</x:v>
      </x:c>
      <x:c r="K107" s="16" t="n">
        <x:f>IF($B107="REAL",SUMIFS(Carga_Reales!$J:$J,Carga_Reales!$A:$A,$A107,Carga_Reales!$B:$B,$C107),SUMIFS(Proyecciones!$J:$J,Proyecciones!$A:$A,$A107,Proyecciones!$B:$B,$C107))*IF($B107="REAL",1,IF(Resumen!$B$5="Conservador",Supuestos!$B$5,IF(Resumen!$B$5="Optimista",Supuestos!$B$7,Supuestos!$B$6)))</x:f>
        <x:v>110619916.981996</x:v>
      </x:c>
      <x:c r="L107" s="16" t="n">
        <x:f>IF($B107="REAL",SUMIFS(Carga_Reales!$K:$K,Carga_Reales!$A:$A,$A107,Carga_Reales!$B:$B,$C107),SUMIFS(Proyecciones!$K:$K,Proyecciones!$A:$A,$A107,Proyecciones!$B:$B,$C107))*IF($B107="REAL",1,IF(Resumen!$B$5="Conservador",Supuestos!$E$5,IF(Resumen!$B$5="Optimista",Supuestos!$E$7,Supuestos!$E$6)))</x:f>
        <x:v>90774371.830064</x:v>
      </x:c>
      <x:c r="M107" s="16" t="n">
        <x:f>IF($B107="REAL",SUMIFS(Carga_Reales!$L:$L,Carga_Reales!$A:$A,$A107,Carga_Reales!$B:$B,$C107),SUMIFS(Proyecciones!$L:$L,Proyecciones!$A:$A,$A107,Proyecciones!$B:$B,$C107))*IF($B107="REAL",1,IF(Resumen!$B$5="Conservador",Supuestos!$E$5,IF(Resumen!$B$5="Optimista",Supuestos!$E$7,Supuestos!$E$6)))</x:f>
        <x:v>54382240</x:v>
      </x:c>
      <x:c r="N107" s="16" t="n">
        <x:f>E107+G107+H107+I107+J107+K107</x:f>
        <x:v>1314373356.981996</x:v>
      </x:c>
      <x:c r="O107" s="16" t="n">
        <x:f>E107-F107+G107+H107+I107+J107+K107-L107-M107</x:f>
        <x:v>205923420.24793196</x:v>
      </x:c>
      <x:c r="P107" s="16" t="n">
        <x:f>O107-IF($B107="REAL",SUMIFS(Carga_Reales!$M:$M,Carga_Reales!$A:$A,$A107,Carga_Reales!$B:$B,$C107),SUMIFS(Proyecciones!$M:$M,Proyecciones!$A:$A,$A107,Proyecciones!$B:$B,$C107))-IF($B107="REAL",SUMIFS(Carga_Reales!$N:$N,Carga_Reales!$A:$A,$A107,Carga_Reales!$B:$B,$C107),SUMIFS(Proyecciones!$N:$N,Proyecciones!$A:$A,$A107,Proyecciones!$B:$B,$C107))</x:f>
        <x:v>131250223.16115586</x:v>
      </x:c>
      <x:c r="Q107" s="16" t="n">
        <x:f>IF($B107="REAL",SUMIFS(Carga_Reales!$O:$O,Carga_Reales!$A:$A,$A107,Carga_Reales!$B:$B,$C107),SUMIFS(Proyecciones!$O:$O,Proyecciones!$A:$A,$A107,Proyecciones!$B:$B,$C107))</x:f>
        <x:v>0</x:v>
      </x:c>
      <x:c r="R107" s="16" t="n">
        <x:f>O107-Q107</x:f>
        <x:v>205923420.24793196</x:v>
      </x:c>
      <x:c r="S107" s="16" t="n">
        <x:f>E107-F107</x:f>
        <x:v>205610115.09599996</x:v>
      </x:c>
      <x:c r="T107" s="16" t="n">
        <x:f>L107+M107</x:f>
        <x:v>145156611.830064</x:v>
      </x:c>
      <x:c r="U107" t="n">
        <x:f>IFERROR((L107+M107)/MAX(1,(S107+G107)/MAX(1,D107)),0)</x:f>
        <x:v>123.75069110019788</x:v>
      </x:c>
    </x:row>
    <x:row r="108">
      <x:c r="A108" s="26" t="n">
        <x:v>47058</x:v>
      </x:c>
      <x:c r="B108" t="str">
        <x:f>IF(EOMONTH($A108,0)&lt;=Resumen!$B$4,"REAL","PROYECTADO")</x:f>
        <x:v>PROYECTADO</x:v>
      </x:c>
      <x:c r="C108" t="str">
        <x:v>Verificarte</x:v>
      </x:c>
      <x:c r="D108" s="15" t="n">
        <x:f>IF($B108="REAL",SUMIFS(Carga_Reales!$C:$C,Carga_Reales!$A:$A,$A108,Carga_Reales!$B:$B,$C108),SUMIFS(Proyecciones!$C:$C,Proyecciones!$A:$A,$A108,Proyecciones!$B:$B,$C108))*IF($B108="REAL",1,IF(Resumen!$B$5="Conservador",Supuestos!$B$5,IF(Resumen!$B$5="Optimista",Supuestos!$B$7,Supuestos!$B$6)))</x:f>
        <x:v>213.5</x:v>
      </x:c>
      <x:c r="E108" s="16" t="n">
        <x:f>IF($B108="REAL",SUMIFS(Carga_Reales!$D:$D,Carga_Reales!$A:$A,$A108,Carga_Reales!$B:$B,$C108),SUMIFS(Proyecciones!$D:$D,Proyecciones!$A:$A,$A108,Proyecciones!$B:$B,$C108))*IF($B108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108" s="16" t="n">
        <x:f>IF($B108="REAL",SUMIFS(Carga_Reales!$E:$E,Carga_Reales!$A:$A,$A108,Carga_Reales!$B:$B,$C108),SUMIFS(Proyecciones!$E:$E,Proyecciones!$A:$A,$A108,Proyecciones!$B:$B,$C108))*IF($B108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108" s="16" t="n">
        <x:f>IF($B108="REAL",SUMIFS(Carga_Reales!$F:$F,Carga_Reales!$A:$A,$A108,Carga_Reales!$B:$B,$C108),SUMIFS(Proyecciones!$F:$F,Proyecciones!$A:$A,$A108,Proyecciones!$B:$B,$C108))*IF($B108="REAL",1,IF(Resumen!$B$5="Conservador",Supuestos!$B$5,IF(Resumen!$B$5="Optimista",Supuestos!$B$7,Supuestos!$B$6)))</x:f>
        <x:v>26858300</x:v>
      </x:c>
      <x:c r="H108" s="16" t="n">
        <x:f>IF($B108="REAL",SUMIFS(Carga_Reales!$G:$G,Carga_Reales!$A:$A,$A108,Carga_Reales!$B:$B,$C108),SUMIFS(Proyecciones!$G:$G,Proyecciones!$A:$A,$A108,Proyecciones!$B:$B,$C108))*IF($B108="REAL",1,IF(Resumen!$B$5="Conservador",Supuestos!$B$5,IF(Resumen!$B$5="Optimista",Supuestos!$B$7,Supuestos!$B$6)))</x:f>
        <x:v>0</x:v>
      </x:c>
      <x:c r="I108" s="16" t="n">
        <x:f>IF($B108="REAL",SUMIFS(Carga_Reales!$H:$H,Carga_Reales!$A:$A,$A108,Carga_Reales!$B:$B,$C108),SUMIFS(Proyecciones!$H:$H,Proyecciones!$A:$A,$A108,Proyecciones!$B:$B,$C108))*IF($B108="REAL",1,IF(Resumen!$B$5="Conservador",Supuestos!$B$5,IF(Resumen!$B$5="Optimista",Supuestos!$B$7,Supuestos!$B$6)))</x:f>
        <x:v>0</x:v>
      </x:c>
      <x:c r="J108" s="16" t="n">
        <x:f>IF($B108="REAL",SUMIFS(Carga_Reales!$I:$I,Carga_Reales!$A:$A,$A108,Carga_Reales!$B:$B,$C108),SUMIFS(Proyecciones!$I:$I,Proyecciones!$A:$A,$A108,Proyecciones!$B:$B,$C108))*IF($B108="REAL",1,IF(Resumen!$B$5="Conservador",Supuestos!$B$5,IF(Resumen!$B$5="Optimista",Supuestos!$B$7,Supuestos!$B$6)))</x:f>
        <x:v>0</x:v>
      </x:c>
      <x:c r="K108" s="16" t="n">
        <x:f>IF($B108="REAL",SUMIFS(Carga_Reales!$J:$J,Carga_Reales!$A:$A,$A108,Carga_Reales!$B:$B,$C108),SUMIFS(Proyecciones!$J:$J,Proyecciones!$A:$A,$A108,Proyecciones!$B:$B,$C108))*IF($B108="REAL",1,IF(Resumen!$B$5="Conservador",Supuestos!$B$5,IF(Resumen!$B$5="Optimista",Supuestos!$B$7,Supuestos!$B$6)))</x:f>
        <x:v>0</x:v>
      </x:c>
      <x:c r="L108" s="16" t="n">
        <x:f>IF($B108="REAL",SUMIFS(Carga_Reales!$K:$K,Carga_Reales!$A:$A,$A108,Carga_Reales!$B:$B,$C108),SUMIFS(Proyecciones!$K:$K,Proyecciones!$A:$A,$A108,Proyecciones!$B:$B,$C108))*IF($B108="REAL",1,IF(Resumen!$B$5="Conservador",Supuestos!$E$5,IF(Resumen!$B$5="Optimista",Supuestos!$E$7,Supuestos!$E$6)))</x:f>
        <x:v>73089161.6281478</x:v>
      </x:c>
      <x:c r="M108" s="16" t="n">
        <x:f>IF($B108="REAL",SUMIFS(Carga_Reales!$L:$L,Carga_Reales!$A:$A,$A108,Carga_Reales!$B:$B,$C108),SUMIFS(Proyecciones!$L:$L,Proyecciones!$A:$A,$A108,Proyecciones!$B:$B,$C108))*IF($B108="REAL",1,IF(Resumen!$B$5="Conservador",Supuestos!$E$5,IF(Resumen!$B$5="Optimista",Supuestos!$E$7,Supuestos!$E$6)))</x:f>
        <x:v>79775600</x:v>
      </x:c>
      <x:c r="N108" s="16" t="n">
        <x:f>E108+G108+H108+I108+J108+K108</x:f>
        <x:v>2018293000.5</x:v>
      </x:c>
      <x:c r="O108" s="16" t="n">
        <x:f>E108-F108+G108+H108+I108+J108+K108-L108-M108</x:f>
        <x:v>202580263.9543522</x:v>
      </x:c>
      <x:c r="P108" s="16" t="n">
        <x:f>O108-IF($B108="REAL",SUMIFS(Carga_Reales!$M:$M,Carga_Reales!$A:$A,$A108,Carga_Reales!$B:$B,$C108),SUMIFS(Proyecciones!$M:$M,Proyecciones!$A:$A,$A108,Proyecciones!$B:$B,$C108))-IF($B108="REAL",SUMIFS(Carga_Reales!$N:$N,Carga_Reales!$A:$A,$A108,Carga_Reales!$B:$B,$C108),SUMIFS(Proyecciones!$N:$N,Proyecciones!$A:$A,$A108,Proyecciones!$B:$B,$C108))</x:f>
        <x:v>129077171.5703288</x:v>
      </x:c>
      <x:c r="Q108" s="16" t="n">
        <x:f>IF($B108="REAL",SUMIFS(Carga_Reales!$O:$O,Carga_Reales!$A:$A,$A108,Carga_Reales!$B:$B,$C108),SUMIFS(Proyecciones!$O:$O,Proyecciones!$A:$A,$A108,Proyecciones!$B:$B,$C108))</x:f>
        <x:v>0</x:v>
      </x:c>
      <x:c r="R108" s="16" t="n">
        <x:f>O108-Q108</x:f>
        <x:v>202580263.9543522</x:v>
      </x:c>
      <x:c r="S108" s="16" t="n">
        <x:f>E108-F108</x:f>
        <x:v>328586725.5825</x:v>
      </x:c>
      <x:c r="T108" s="16" t="n">
        <x:f>L108+M108</x:f>
        <x:v>152864761.62814778</x:v>
      </x:c>
      <x:c r="U108" t="n">
        <x:f>IFERROR((L108+M108)/MAX(1,(S108+G108)/MAX(1,D108)),0)</x:f>
        <x:v>91.81905571508548</x:v>
      </x:c>
    </x:row>
    <x:row r="109">
      <x:c r="A109" s="26" t="n">
        <x:v>47058</x:v>
      </x:c>
      <x:c r="B109" t="str">
        <x:f>IF(EOMONTH($A109,0)&lt;=Resumen!$B$4,"REAL","PROYECTADO")</x:f>
        <x:v>PROYECTADO</x:v>
      </x:c>
      <x:c r="C109" t="str">
        <x:v>TuClick</x:v>
      </x:c>
      <x:c r="D109" s="15" t="n">
        <x:f>IF($B109="REAL",SUMIFS(Carga_Reales!$C:$C,Carga_Reales!$A:$A,$A109,Carga_Reales!$B:$B,$C109),SUMIFS(Proyecciones!$C:$C,Proyecciones!$A:$A,$A109,Proyecciones!$B:$B,$C109))*IF($B109="REAL",1,IF(Resumen!$B$5="Conservador",Supuestos!$B$5,IF(Resumen!$B$5="Optimista",Supuestos!$B$7,Supuestos!$B$6)))</x:f>
        <x:v>81.5</x:v>
      </x:c>
      <x:c r="E109" s="16" t="n">
        <x:f>IF($B109="REAL",SUMIFS(Carga_Reales!$D:$D,Carga_Reales!$A:$A,$A109,Carga_Reales!$B:$B,$C109),SUMIFS(Proyecciones!$D:$D,Proyecciones!$A:$A,$A109,Proyecciones!$B:$B,$C109))*IF($B109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109" s="16" t="n">
        <x:f>IF($B109="REAL",SUMIFS(Carga_Reales!$E:$E,Carga_Reales!$A:$A,$A109,Carga_Reales!$B:$B,$C109),SUMIFS(Proyecciones!$E:$E,Proyecciones!$A:$A,$A109,Proyecciones!$B:$B,$C109))*IF($B109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109" s="16" t="n">
        <x:f>IF($B109="REAL",SUMIFS(Carga_Reales!$F:$F,Carga_Reales!$A:$A,$A109,Carga_Reales!$B:$B,$C109),SUMIFS(Proyecciones!$F:$F,Proyecciones!$A:$A,$A109,Proyecciones!$B:$B,$C109))*IF($B109="REAL",1,IF(Resumen!$B$5="Conservador",Supuestos!$B$5,IF(Resumen!$B$5="Optimista",Supuestos!$B$7,Supuestos!$B$6)))</x:f>
        <x:v>18186725</x:v>
      </x:c>
      <x:c r="H109" s="16" t="n">
        <x:f>IF($B109="REAL",SUMIFS(Carga_Reales!$G:$G,Carga_Reales!$A:$A,$A109,Carga_Reales!$B:$B,$C109),SUMIFS(Proyecciones!$G:$G,Proyecciones!$A:$A,$A109,Proyecciones!$B:$B,$C109))*IF($B109="REAL",1,IF(Resumen!$B$5="Conservador",Supuestos!$B$5,IF(Resumen!$B$5="Optimista",Supuestos!$B$7,Supuestos!$B$6)))</x:f>
        <x:v>0</x:v>
      </x:c>
      <x:c r="I109" s="16" t="n">
        <x:f>IF($B109="REAL",SUMIFS(Carga_Reales!$H:$H,Carga_Reales!$A:$A,$A109,Carga_Reales!$B:$B,$C109),SUMIFS(Proyecciones!$H:$H,Proyecciones!$A:$A,$A109,Proyecciones!$B:$B,$C109))*IF($B109="REAL",1,IF(Resumen!$B$5="Conservador",Supuestos!$B$5,IF(Resumen!$B$5="Optimista",Supuestos!$B$7,Supuestos!$B$6)))</x:f>
        <x:v>0</x:v>
      </x:c>
      <x:c r="J109" s="16" t="n">
        <x:f>IF($B109="REAL",SUMIFS(Carga_Reales!$I:$I,Carga_Reales!$A:$A,$A109,Carga_Reales!$B:$B,$C109),SUMIFS(Proyecciones!$I:$I,Proyecciones!$A:$A,$A109,Proyecciones!$B:$B,$C109))*IF($B109="REAL",1,IF(Resumen!$B$5="Conservador",Supuestos!$B$5,IF(Resumen!$B$5="Optimista",Supuestos!$B$7,Supuestos!$B$6)))</x:f>
        <x:v>0</x:v>
      </x:c>
      <x:c r="K109" s="16" t="n">
        <x:f>IF($B109="REAL",SUMIFS(Carga_Reales!$J:$J,Carga_Reales!$A:$A,$A109,Carga_Reales!$B:$B,$C109),SUMIFS(Proyecciones!$J:$J,Proyecciones!$A:$A,$A109,Proyecciones!$B:$B,$C109))*IF($B109="REAL",1,IF(Resumen!$B$5="Conservador",Supuestos!$B$5,IF(Resumen!$B$5="Optimista",Supuestos!$B$7,Supuestos!$B$6)))</x:f>
        <x:v>0</x:v>
      </x:c>
      <x:c r="L109" s="16" t="n">
        <x:f>IF($B109="REAL",SUMIFS(Carga_Reales!$K:$K,Carga_Reales!$A:$A,$A109,Carga_Reales!$B:$B,$C109),SUMIFS(Proyecciones!$K:$K,Proyecciones!$A:$A,$A109,Proyecciones!$B:$B,$C109))*IF($B109="REAL",1,IF(Resumen!$B$5="Conservador",Supuestos!$E$5,IF(Resumen!$B$5="Optimista",Supuestos!$E$7,Supuestos!$E$6)))</x:f>
        <x:v>31865823.5635883</x:v>
      </x:c>
      <x:c r="M109" s="16" t="n">
        <x:f>IF($B109="REAL",SUMIFS(Carga_Reales!$L:$L,Carga_Reales!$A:$A,$A109,Carga_Reales!$B:$B,$C109),SUMIFS(Proyecciones!$L:$L,Proyecciones!$A:$A,$A109,Proyecciones!$B:$B,$C109))*IF($B109="REAL",1,IF(Resumen!$B$5="Conservador",Supuestos!$E$5,IF(Resumen!$B$5="Optimista",Supuestos!$E$7,Supuestos!$E$6)))</x:f>
        <x:v>44944000</x:v>
      </x:c>
      <x:c r="N109" s="16" t="n">
        <x:f>E109+G109+H109+I109+J109+K109</x:f>
        <x:v>587305055.5</x:v>
      </x:c>
      <x:c r="O109" s="16" t="n">
        <x:f>E109-F109+G109+H109+I109+J109+K109-L109-M109</x:f>
        <x:v>23842147.52586171</x:v>
      </x:c>
      <x:c r="P109" s="16" t="n">
        <x:f>O109-IF($B109="REAL",SUMIFS(Carga_Reales!$M:$M,Carga_Reales!$A:$A,$A109,Carga_Reales!$B:$B,$C109),SUMIFS(Proyecciones!$M:$M,Proyecciones!$A:$A,$A109,Proyecciones!$B:$B,$C109))-IF($B109="REAL",SUMIFS(Carga_Reales!$N:$N,Carga_Reales!$A:$A,$A109,Carga_Reales!$B:$B,$C109),SUMIFS(Proyecciones!$N:$N,Proyecciones!$A:$A,$A109,Proyecciones!$B:$B,$C109))</x:f>
        <x:v>14197395.891810112</x:v>
      </x:c>
      <x:c r="Q109" s="16" t="n">
        <x:f>IF($B109="REAL",SUMIFS(Carga_Reales!$O:$O,Carga_Reales!$A:$A,$A109,Carga_Reales!$B:$B,$C109),SUMIFS(Proyecciones!$O:$O,Proyecciones!$A:$A,$A109,Proyecciones!$B:$B,$C109))</x:f>
        <x:v>0</x:v>
      </x:c>
      <x:c r="R109" s="16" t="n">
        <x:f>O109-Q109</x:f>
        <x:v>23842147.52586171</x:v>
      </x:c>
      <x:c r="S109" s="16" t="n">
        <x:f>E109-F109</x:f>
        <x:v>82465246.08945</x:v>
      </x:c>
      <x:c r="T109" s="16" t="n">
        <x:f>L109+M109</x:f>
        <x:v>76809823.56358829</x:v>
      </x:c>
      <x:c r="U109" t="n">
        <x:f>IFERROR((L109+M109)/MAX(1,(S109+G109)/MAX(1,D109)),0)</x:f>
        <x:v>62.194515941164696</x:v>
      </x:c>
    </x:row>
    <x:row r="110">
      <x:c r="A110" s="26" t="n">
        <x:v>47088</x:v>
      </x:c>
      <x:c r="B110" t="str">
        <x:f>IF(EOMONTH($A110,0)&lt;=Resumen!$B$4,"REAL","PROYECTADO")</x:f>
        <x:v>PROYECTADO</x:v>
      </x:c>
      <x:c r="C110" t="str">
        <x:v>Moto para Todos</x:v>
      </x:c>
      <x:c r="D110" s="15" t="n">
        <x:f>IF($B110="REAL",SUMIFS(Carga_Reales!$C:$C,Carga_Reales!$A:$A,$A110,Carga_Reales!$B:$B,$C110),SUMIFS(Proyecciones!$C:$C,Proyecciones!$A:$A,$A110,Proyecciones!$B:$B,$C110))*IF($B110="REAL",1,IF(Resumen!$B$5="Conservador",Supuestos!$B$5,IF(Resumen!$B$5="Optimista",Supuestos!$B$7,Supuestos!$B$6)))</x:f>
        <x:v>205</x:v>
      </x:c>
      <x:c r="E110" s="16" t="n">
        <x:f>IF($B110="REAL",SUMIFS(Carga_Reales!$D:$D,Carga_Reales!$A:$A,$A110,Carga_Reales!$B:$B,$C110),SUMIFS(Proyecciones!$D:$D,Proyecciones!$A:$A,$A110,Proyecciones!$B:$B,$C110))*IF($B110="REAL",1,IF(Resumen!$B$5="Conservador",Supuestos!$B$5,IF(Resumen!$B$5="Optimista",Supuestos!$B$7,Supuestos!$B$6))*IF(Resumen!$B$5="Conservador",Supuestos!$C$5,IF(Resumen!$B$5="Optimista",Supuestos!$C$7,Supuestos!$C$6)))</x:f>
        <x:v>1168903440</x:v>
      </x:c>
      <x:c r="F110" s="16" t="n">
        <x:f>IF($B110="REAL",SUMIFS(Carga_Reales!$E:$E,Carga_Reales!$A:$A,$A110,Carga_Reales!$B:$B,$C110),SUMIFS(Proyecciones!$E:$E,Proyecciones!$A:$A,$A110,Proyecciones!$B:$B,$C110))*IF($B110="REAL",1,IF(Resumen!$B$5="Conservador",Supuestos!$B$5,IF(Resumen!$B$5="Optimista",Supuestos!$B$7,Supuestos!$B$6))*IF(Resumen!$B$5="Conservador",Supuestos!$D$5,IF(Resumen!$B$5="Optimista",Supuestos!$D$7,Supuestos!$D$6)))</x:f>
        <x:v>963293324.904</x:v>
      </x:c>
      <x:c r="G110" s="16" t="n">
        <x:f>IF($B110="REAL",SUMIFS(Carga_Reales!$F:$F,Carga_Reales!$A:$A,$A110,Carga_Reales!$B:$B,$C110),SUMIFS(Proyecciones!$F:$F,Proyecciones!$A:$A,$A110,Proyecciones!$B:$B,$C110))*IF($B110="REAL",1,IF(Resumen!$B$5="Conservador",Supuestos!$B$5,IF(Resumen!$B$5="Optimista",Supuestos!$B$7,Supuestos!$B$6)))</x:f>
        <x:v>34850000</x:v>
      </x:c>
      <x:c r="H110" s="16" t="n">
        <x:f>IF($B110="REAL",SUMIFS(Carga_Reales!$G:$G,Carga_Reales!$A:$A,$A110,Carga_Reales!$B:$B,$C110),SUMIFS(Proyecciones!$G:$G,Proyecciones!$A:$A,$A110,Proyecciones!$B:$B,$C110))*IF($B110="REAL",1,IF(Resumen!$B$5="Conservador",Supuestos!$B$5,IF(Resumen!$B$5="Optimista",Supuestos!$B$7,Supuestos!$B$6)))</x:f>
        <x:v>0</x:v>
      </x:c>
      <x:c r="I110" s="16" t="n">
        <x:f>IF($B110="REAL",SUMIFS(Carga_Reales!$H:$H,Carga_Reales!$A:$A,$A110,Carga_Reales!$B:$B,$C110),SUMIFS(Proyecciones!$H:$H,Proyecciones!$A:$A,$A110,Proyecciones!$B:$B,$C110))*IF($B110="REAL",1,IF(Resumen!$B$5="Conservador",Supuestos!$B$5,IF(Resumen!$B$5="Optimista",Supuestos!$B$7,Supuestos!$B$6)))</x:f>
        <x:v>0</x:v>
      </x:c>
      <x:c r="J110" s="16" t="n">
        <x:f>IF($B110="REAL",SUMIFS(Carga_Reales!$I:$I,Carga_Reales!$A:$A,$A110,Carga_Reales!$B:$B,$C110),SUMIFS(Proyecciones!$I:$I,Proyecciones!$A:$A,$A110,Proyecciones!$B:$B,$C110))*IF($B110="REAL",1,IF(Resumen!$B$5="Conservador",Supuestos!$B$5,IF(Resumen!$B$5="Optimista",Supuestos!$B$7,Supuestos!$B$6)))</x:f>
        <x:v>0</x:v>
      </x:c>
      <x:c r="K110" s="16" t="n">
        <x:f>IF($B110="REAL",SUMIFS(Carga_Reales!$J:$J,Carga_Reales!$A:$A,$A110,Carga_Reales!$B:$B,$C110),SUMIFS(Proyecciones!$J:$J,Proyecciones!$A:$A,$A110,Proyecciones!$B:$B,$C110))*IF($B110="REAL",1,IF(Resumen!$B$5="Conservador",Supuestos!$B$5,IF(Resumen!$B$5="Optimista",Supuestos!$B$7,Supuestos!$B$6)))</x:f>
        <x:v>113105753.774413</x:v>
      </x:c>
      <x:c r="L110" s="16" t="n">
        <x:f>IF($B110="REAL",SUMIFS(Carga_Reales!$K:$K,Carga_Reales!$A:$A,$A110,Carga_Reales!$B:$B,$C110),SUMIFS(Proyecciones!$K:$K,Proyecciones!$A:$A,$A110,Proyecciones!$B:$B,$C110))*IF($B110="REAL",1,IF(Resumen!$B$5="Conservador",Supuestos!$E$5,IF(Resumen!$B$5="Optimista",Supuestos!$E$7,Supuestos!$E$6)))</x:f>
        <x:v>90774371.830064</x:v>
      </x:c>
      <x:c r="M110" s="16" t="n">
        <x:f>IF($B110="REAL",SUMIFS(Carga_Reales!$L:$L,Carga_Reales!$A:$A,$A110,Carga_Reales!$B:$B,$C110),SUMIFS(Proyecciones!$L:$L,Proyecciones!$A:$A,$A110,Proyecciones!$B:$B,$C110))*IF($B110="REAL",1,IF(Resumen!$B$5="Conservador",Supuestos!$E$5,IF(Resumen!$B$5="Optimista",Supuestos!$E$7,Supuestos!$E$6)))</x:f>
        <x:v>54382240</x:v>
      </x:c>
      <x:c r="N110" s="16" t="n">
        <x:f>E110+G110+H110+I110+J110+K110</x:f>
        <x:v>1316859193.774413</x:v>
      </x:c>
      <x:c r="O110" s="16" t="n">
        <x:f>E110-F110+G110+H110+I110+J110+K110-L110-M110</x:f>
        <x:v>208409257.04034895</x:v>
      </x:c>
      <x:c r="P110" s="16" t="n">
        <x:f>O110-IF($B110="REAL",SUMIFS(Carga_Reales!$M:$M,Carga_Reales!$A:$A,$A110,Carga_Reales!$B:$B,$C110),SUMIFS(Proyecciones!$M:$M,Proyecciones!$A:$A,$A110,Proyecciones!$B:$B,$C110))-IF($B110="REAL",SUMIFS(Carga_Reales!$N:$N,Carga_Reales!$A:$A,$A110,Carga_Reales!$B:$B,$C110),SUMIFS(Proyecciones!$N:$N,Proyecciones!$A:$A,$A110,Proyecciones!$B:$B,$C110))</x:f>
        <x:v>132866017.07622695</x:v>
      </x:c>
      <x:c r="Q110" s="16" t="n">
        <x:f>IF($B110="REAL",SUMIFS(Carga_Reales!$O:$O,Carga_Reales!$A:$A,$A110,Carga_Reales!$B:$B,$C110),SUMIFS(Proyecciones!$O:$O,Proyecciones!$A:$A,$A110,Proyecciones!$B:$B,$C110))</x:f>
        <x:v>0</x:v>
      </x:c>
      <x:c r="R110" s="16" t="n">
        <x:f>O110-Q110</x:f>
        <x:v>208409257.04034895</x:v>
      </x:c>
      <x:c r="S110" s="16" t="n">
        <x:f>E110-F110</x:f>
        <x:v>205610115.09599996</x:v>
      </x:c>
      <x:c r="T110" s="16" t="n">
        <x:f>L110+M110</x:f>
        <x:v>145156611.830064</x:v>
      </x:c>
      <x:c r="U110" t="n">
        <x:f>IFERROR((L110+M110)/MAX(1,(S110+G110)/MAX(1,D110)),0)</x:f>
        <x:v>123.75069110019788</x:v>
      </x:c>
    </x:row>
    <x:row r="111">
      <x:c r="A111" s="26" t="n">
        <x:v>47088</x:v>
      </x:c>
      <x:c r="B111" t="str">
        <x:f>IF(EOMONTH($A111,0)&lt;=Resumen!$B$4,"REAL","PROYECTADO")</x:f>
        <x:v>PROYECTADO</x:v>
      </x:c>
      <x:c r="C111" t="str">
        <x:v>Verificarte</x:v>
      </x:c>
      <x:c r="D111" s="15" t="n">
        <x:f>IF($B111="REAL",SUMIFS(Carga_Reales!$C:$C,Carga_Reales!$A:$A,$A111,Carga_Reales!$B:$B,$C111),SUMIFS(Proyecciones!$C:$C,Proyecciones!$A:$A,$A111,Proyecciones!$B:$B,$C111))*IF($B111="REAL",1,IF(Resumen!$B$5="Conservador",Supuestos!$B$5,IF(Resumen!$B$5="Optimista",Supuestos!$B$7,Supuestos!$B$6)))</x:f>
        <x:v>213.5</x:v>
      </x:c>
      <x:c r="E111" s="16" t="n">
        <x:f>IF($B111="REAL",SUMIFS(Carga_Reales!$D:$D,Carga_Reales!$A:$A,$A111,Carga_Reales!$B:$B,$C111),SUMIFS(Proyecciones!$D:$D,Proyecciones!$A:$A,$A111,Proyecciones!$B:$B,$C111))*IF($B111="REAL",1,IF(Resumen!$B$5="Conservador",Supuestos!$B$5,IF(Resumen!$B$5="Optimista",Supuestos!$B$7,Supuestos!$B$6))*IF(Resumen!$B$5="Conservador",Supuestos!$C$5,IF(Resumen!$B$5="Optimista",Supuestos!$C$7,Supuestos!$C$6)))</x:f>
        <x:v>1991434700.5</x:v>
      </x:c>
      <x:c r="F111" s="16" t="n">
        <x:f>IF($B111="REAL",SUMIFS(Carga_Reales!$E:$E,Carga_Reales!$A:$A,$A111,Carga_Reales!$B:$B,$C111),SUMIFS(Proyecciones!$E:$E,Proyecciones!$A:$A,$A111,Proyecciones!$B:$B,$C111))*IF($B111="REAL",1,IF(Resumen!$B$5="Conservador",Supuestos!$B$5,IF(Resumen!$B$5="Optimista",Supuestos!$B$7,Supuestos!$B$6))*IF(Resumen!$B$5="Conservador",Supuestos!$D$5,IF(Resumen!$B$5="Optimista",Supuestos!$D$7,Supuestos!$D$6)))</x:f>
        <x:v>1662847974.9175</x:v>
      </x:c>
      <x:c r="G111" s="16" t="n">
        <x:f>IF($B111="REAL",SUMIFS(Carga_Reales!$F:$F,Carga_Reales!$A:$A,$A111,Carga_Reales!$B:$B,$C111),SUMIFS(Proyecciones!$F:$F,Proyecciones!$A:$A,$A111,Proyecciones!$B:$B,$C111))*IF($B111="REAL",1,IF(Resumen!$B$5="Conservador",Supuestos!$B$5,IF(Resumen!$B$5="Optimista",Supuestos!$B$7,Supuestos!$B$6)))</x:f>
        <x:v>26858300</x:v>
      </x:c>
      <x:c r="H111" s="16" t="n">
        <x:f>IF($B111="REAL",SUMIFS(Carga_Reales!$G:$G,Carga_Reales!$A:$A,$A111,Carga_Reales!$B:$B,$C111),SUMIFS(Proyecciones!$G:$G,Proyecciones!$A:$A,$A111,Proyecciones!$B:$B,$C111))*IF($B111="REAL",1,IF(Resumen!$B$5="Conservador",Supuestos!$B$5,IF(Resumen!$B$5="Optimista",Supuestos!$B$7,Supuestos!$B$6)))</x:f>
        <x:v>0</x:v>
      </x:c>
      <x:c r="I111" s="16" t="n">
        <x:f>IF($B111="REAL",SUMIFS(Carga_Reales!$H:$H,Carga_Reales!$A:$A,$A111,Carga_Reales!$B:$B,$C111),SUMIFS(Proyecciones!$H:$H,Proyecciones!$A:$A,$A111,Proyecciones!$B:$B,$C111))*IF($B111="REAL",1,IF(Resumen!$B$5="Conservador",Supuestos!$B$5,IF(Resumen!$B$5="Optimista",Supuestos!$B$7,Supuestos!$B$6)))</x:f>
        <x:v>0</x:v>
      </x:c>
      <x:c r="J111" s="16" t="n">
        <x:f>IF($B111="REAL",SUMIFS(Carga_Reales!$I:$I,Carga_Reales!$A:$A,$A111,Carga_Reales!$B:$B,$C111),SUMIFS(Proyecciones!$I:$I,Proyecciones!$A:$A,$A111,Proyecciones!$B:$B,$C111))*IF($B111="REAL",1,IF(Resumen!$B$5="Conservador",Supuestos!$B$5,IF(Resumen!$B$5="Optimista",Supuestos!$B$7,Supuestos!$B$6)))</x:f>
        <x:v>0</x:v>
      </x:c>
      <x:c r="K111" s="16" t="n">
        <x:f>IF($B111="REAL",SUMIFS(Carga_Reales!$J:$J,Carga_Reales!$A:$A,$A111,Carga_Reales!$B:$B,$C111),SUMIFS(Proyecciones!$J:$J,Proyecciones!$A:$A,$A111,Proyecciones!$B:$B,$C111))*IF($B111="REAL",1,IF(Resumen!$B$5="Conservador",Supuestos!$B$5,IF(Resumen!$B$5="Optimista",Supuestos!$B$7,Supuestos!$B$6)))</x:f>
        <x:v>0</x:v>
      </x:c>
      <x:c r="L111" s="16" t="n">
        <x:f>IF($B111="REAL",SUMIFS(Carga_Reales!$K:$K,Carga_Reales!$A:$A,$A111,Carga_Reales!$B:$B,$C111),SUMIFS(Proyecciones!$K:$K,Proyecciones!$A:$A,$A111,Proyecciones!$B:$B,$C111))*IF($B111="REAL",1,IF(Resumen!$B$5="Conservador",Supuestos!$E$5,IF(Resumen!$B$5="Optimista",Supuestos!$E$7,Supuestos!$E$6)))</x:f>
        <x:v>73089161.6281478</x:v>
      </x:c>
      <x:c r="M111" s="16" t="n">
        <x:f>IF($B111="REAL",SUMIFS(Carga_Reales!$L:$L,Carga_Reales!$A:$A,$A111,Carga_Reales!$B:$B,$C111),SUMIFS(Proyecciones!$L:$L,Proyecciones!$A:$A,$A111,Proyecciones!$B:$B,$C111))*IF($B111="REAL",1,IF(Resumen!$B$5="Conservador",Supuestos!$E$5,IF(Resumen!$B$5="Optimista",Supuestos!$E$7,Supuestos!$E$6)))</x:f>
        <x:v>79775600</x:v>
      </x:c>
      <x:c r="N111" s="16" t="n">
        <x:f>E111+G111+H111+I111+J111+K111</x:f>
        <x:v>2018293000.5</x:v>
      </x:c>
      <x:c r="O111" s="16" t="n">
        <x:f>E111-F111+G111+H111+I111+J111+K111-L111-M111</x:f>
        <x:v>202580263.9543522</x:v>
      </x:c>
      <x:c r="P111" s="16" t="n">
        <x:f>O111-IF($B111="REAL",SUMIFS(Carga_Reales!$M:$M,Carga_Reales!$A:$A,$A111,Carga_Reales!$B:$B,$C111),SUMIFS(Proyecciones!$M:$M,Proyecciones!$A:$A,$A111,Proyecciones!$B:$B,$C111))-IF($B111="REAL",SUMIFS(Carga_Reales!$N:$N,Carga_Reales!$A:$A,$A111,Carga_Reales!$B:$B,$C111),SUMIFS(Proyecciones!$N:$N,Proyecciones!$A:$A,$A111,Proyecciones!$B:$B,$C111))</x:f>
        <x:v>129077171.5703288</x:v>
      </x:c>
      <x:c r="Q111" s="16" t="n">
        <x:f>IF($B111="REAL",SUMIFS(Carga_Reales!$O:$O,Carga_Reales!$A:$A,$A111,Carga_Reales!$B:$B,$C111),SUMIFS(Proyecciones!$O:$O,Proyecciones!$A:$A,$A111,Proyecciones!$B:$B,$C111))</x:f>
        <x:v>0</x:v>
      </x:c>
      <x:c r="R111" s="16" t="n">
        <x:f>O111-Q111</x:f>
        <x:v>202580263.9543522</x:v>
      </x:c>
      <x:c r="S111" s="16" t="n">
        <x:f>E111-F111</x:f>
        <x:v>328586725.5825</x:v>
      </x:c>
      <x:c r="T111" s="16" t="n">
        <x:f>L111+M111</x:f>
        <x:v>152864761.62814778</x:v>
      </x:c>
      <x:c r="U111" t="n">
        <x:f>IFERROR((L111+M111)/MAX(1,(S111+G111)/MAX(1,D111)),0)</x:f>
        <x:v>91.81905571508548</x:v>
      </x:c>
    </x:row>
    <x:row r="112">
      <x:c r="A112" s="26" t="n">
        <x:v>47088</x:v>
      </x:c>
      <x:c r="B112" t="str">
        <x:f>IF(EOMONTH($A112,0)&lt;=Resumen!$B$4,"REAL","PROYECTADO")</x:f>
        <x:v>PROYECTADO</x:v>
      </x:c>
      <x:c r="C112" t="str">
        <x:v>TuClick</x:v>
      </x:c>
      <x:c r="D112" s="15" t="n">
        <x:f>IF($B112="REAL",SUMIFS(Carga_Reales!$C:$C,Carga_Reales!$A:$A,$A112,Carga_Reales!$B:$B,$C112),SUMIFS(Proyecciones!$C:$C,Proyecciones!$A:$A,$A112,Proyecciones!$B:$B,$C112))*IF($B112="REAL",1,IF(Resumen!$B$5="Conservador",Supuestos!$B$5,IF(Resumen!$B$5="Optimista",Supuestos!$B$7,Supuestos!$B$6)))</x:f>
        <x:v>81.5</x:v>
      </x:c>
      <x:c r="E112" s="16" t="n">
        <x:f>IF($B112="REAL",SUMIFS(Carga_Reales!$D:$D,Carga_Reales!$A:$A,$A112,Carga_Reales!$B:$B,$C112),SUMIFS(Proyecciones!$D:$D,Proyecciones!$A:$A,$A112,Proyecciones!$B:$B,$C112))*IF($B112="REAL",1,IF(Resumen!$B$5="Conservador",Supuestos!$B$5,IF(Resumen!$B$5="Optimista",Supuestos!$B$7,Supuestos!$B$6))*IF(Resumen!$B$5="Conservador",Supuestos!$C$5,IF(Resumen!$B$5="Optimista",Supuestos!$C$7,Supuestos!$C$6)))</x:f>
        <x:v>569118330.5</x:v>
      </x:c>
      <x:c r="F112" s="16" t="n">
        <x:f>IF($B112="REAL",SUMIFS(Carga_Reales!$E:$E,Carga_Reales!$A:$A,$A112,Carga_Reales!$B:$B,$C112),SUMIFS(Proyecciones!$E:$E,Proyecciones!$A:$A,$A112,Proyecciones!$B:$B,$C112))*IF($B112="REAL",1,IF(Resumen!$B$5="Conservador",Supuestos!$B$5,IF(Resumen!$B$5="Optimista",Supuestos!$B$7,Supuestos!$B$6))*IF(Resumen!$B$5="Conservador",Supuestos!$D$5,IF(Resumen!$B$5="Optimista",Supuestos!$D$7,Supuestos!$D$6)))</x:f>
        <x:v>486653084.41055</x:v>
      </x:c>
      <x:c r="G112" s="16" t="n">
        <x:f>IF($B112="REAL",SUMIFS(Carga_Reales!$F:$F,Carga_Reales!$A:$A,$A112,Carga_Reales!$B:$B,$C112),SUMIFS(Proyecciones!$F:$F,Proyecciones!$A:$A,$A112,Proyecciones!$B:$B,$C112))*IF($B112="REAL",1,IF(Resumen!$B$5="Conservador",Supuestos!$B$5,IF(Resumen!$B$5="Optimista",Supuestos!$B$7,Supuestos!$B$6)))</x:f>
        <x:v>18186725</x:v>
      </x:c>
      <x:c r="H112" s="16" t="n">
        <x:f>IF($B112="REAL",SUMIFS(Carga_Reales!$G:$G,Carga_Reales!$A:$A,$A112,Carga_Reales!$B:$B,$C112),SUMIFS(Proyecciones!$G:$G,Proyecciones!$A:$A,$A112,Proyecciones!$B:$B,$C112))*IF($B112="REAL",1,IF(Resumen!$B$5="Conservador",Supuestos!$B$5,IF(Resumen!$B$5="Optimista",Supuestos!$B$7,Supuestos!$B$6)))</x:f>
        <x:v>0</x:v>
      </x:c>
      <x:c r="I112" s="16" t="n">
        <x:f>IF($B112="REAL",SUMIFS(Carga_Reales!$H:$H,Carga_Reales!$A:$A,$A112,Carga_Reales!$B:$B,$C112),SUMIFS(Proyecciones!$H:$H,Proyecciones!$A:$A,$A112,Proyecciones!$B:$B,$C112))*IF($B112="REAL",1,IF(Resumen!$B$5="Conservador",Supuestos!$B$5,IF(Resumen!$B$5="Optimista",Supuestos!$B$7,Supuestos!$B$6)))</x:f>
        <x:v>0</x:v>
      </x:c>
      <x:c r="J112" s="16" t="n">
        <x:f>IF($B112="REAL",SUMIFS(Carga_Reales!$I:$I,Carga_Reales!$A:$A,$A112,Carga_Reales!$B:$B,$C112),SUMIFS(Proyecciones!$I:$I,Proyecciones!$A:$A,$A112,Proyecciones!$B:$B,$C112))*IF($B112="REAL",1,IF(Resumen!$B$5="Conservador",Supuestos!$B$5,IF(Resumen!$B$5="Optimista",Supuestos!$B$7,Supuestos!$B$6)))</x:f>
        <x:v>0</x:v>
      </x:c>
      <x:c r="K112" s="16" t="n">
        <x:f>IF($B112="REAL",SUMIFS(Carga_Reales!$J:$J,Carga_Reales!$A:$A,$A112,Carga_Reales!$B:$B,$C112),SUMIFS(Proyecciones!$J:$J,Proyecciones!$A:$A,$A112,Proyecciones!$B:$B,$C112))*IF($B112="REAL",1,IF(Resumen!$B$5="Conservador",Supuestos!$B$5,IF(Resumen!$B$5="Optimista",Supuestos!$B$7,Supuestos!$B$6)))</x:f>
        <x:v>0</x:v>
      </x:c>
      <x:c r="L112" s="16" t="n">
        <x:f>IF($B112="REAL",SUMIFS(Carga_Reales!$K:$K,Carga_Reales!$A:$A,$A112,Carga_Reales!$B:$B,$C112),SUMIFS(Proyecciones!$K:$K,Proyecciones!$A:$A,$A112,Proyecciones!$B:$B,$C112))*IF($B112="REAL",1,IF(Resumen!$B$5="Conservador",Supuestos!$E$5,IF(Resumen!$B$5="Optimista",Supuestos!$E$7,Supuestos!$E$6)))</x:f>
        <x:v>31865823.5635883</x:v>
      </x:c>
      <x:c r="M112" s="16" t="n">
        <x:f>IF($B112="REAL",SUMIFS(Carga_Reales!$L:$L,Carga_Reales!$A:$A,$A112,Carga_Reales!$B:$B,$C112),SUMIFS(Proyecciones!$L:$L,Proyecciones!$A:$A,$A112,Proyecciones!$B:$B,$C112))*IF($B112="REAL",1,IF(Resumen!$B$5="Conservador",Supuestos!$E$5,IF(Resumen!$B$5="Optimista",Supuestos!$E$7,Supuestos!$E$6)))</x:f>
        <x:v>44944000</x:v>
      </x:c>
      <x:c r="N112" s="16" t="n">
        <x:f>E112+G112+H112+I112+J112+K112</x:f>
        <x:v>587305055.5</x:v>
      </x:c>
      <x:c r="O112" s="16" t="n">
        <x:f>E112-F112+G112+H112+I112+J112+K112-L112-M112</x:f>
        <x:v>23842147.52586171</x:v>
      </x:c>
      <x:c r="P112" s="16" t="n">
        <x:f>O112-IF($B112="REAL",SUMIFS(Carga_Reales!$M:$M,Carga_Reales!$A:$A,$A112,Carga_Reales!$B:$B,$C112),SUMIFS(Proyecciones!$M:$M,Proyecciones!$A:$A,$A112,Proyecciones!$B:$B,$C112))-IF($B112="REAL",SUMIFS(Carga_Reales!$N:$N,Carga_Reales!$A:$A,$A112,Carga_Reales!$B:$B,$C112),SUMIFS(Proyecciones!$N:$N,Proyecciones!$A:$A,$A112,Proyecciones!$B:$B,$C112))</x:f>
        <x:v>14197395.891810112</x:v>
      </x:c>
      <x:c r="Q112" s="16" t="n">
        <x:f>IF($B112="REAL",SUMIFS(Carga_Reales!$O:$O,Carga_Reales!$A:$A,$A112,Carga_Reales!$B:$B,$C112),SUMIFS(Proyecciones!$O:$O,Proyecciones!$A:$A,$A112,Proyecciones!$B:$B,$C112))</x:f>
        <x:v>0</x:v>
      </x:c>
      <x:c r="R112" s="16" t="n">
        <x:f>O112-Q112</x:f>
        <x:v>23842147.52586171</x:v>
      </x:c>
      <x:c r="S112" s="16" t="n">
        <x:f>E112-F112</x:f>
        <x:v>82465246.08945</x:v>
      </x:c>
      <x:c r="T112" s="16" t="n">
        <x:f>L112+M112</x:f>
        <x:v>76809823.56358829</x:v>
      </x:c>
      <x:c r="U112" t="n">
        <x:f>IFERROR((L112+M112)/MAX(1,(S112+G112)/MAX(1,D112)),0)</x:f>
        <x:v>62.194515941164696</x:v>
      </x:c>
    </x:row>
  </x:sheetData>
  <x:mergeCells>
    <x:mergeCell ref="A1:U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6" hidden="0" customWidth="1"/>
    <x:col min="3" max="3" width="18" hidden="0" customWidth="1"/>
    <x:col min="4" max="4" width="16" hidden="0" customWidth="1"/>
    <x:col min="5" max="5" width="16" hidden="0" customWidth="1"/>
    <x:col min="6" max="6" width="18" hidden="0" customWidth="1"/>
    <x:col min="7" max="7" width="18" hidden="0" customWidth="1"/>
    <x:col min="8" max="8" width="16" hidden="0" customWidth="1"/>
    <x:col min="9" max="9" width="18" hidden="0" customWidth="1"/>
    <x:col min="10" max="10" width="46" hidden="0" customWidth="1"/>
  </x:cols>
  <x:sheetData>
    <x:row r="1" ht="28" customHeight="1">
      <x:c r="A1" s="4" t="str">
        <x:v>INVENTARIO, CUPOS Y CONDICIONES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>
      <x:c r="A4" s="14" t="str">
        <x:v>Empresa</x:v>
      </x:c>
      <x:c r="B4" s="14" t="str">
        <x:v>Ensambladora</x:v>
      </x:c>
      <x:c r="C4" s="14" t="str">
        <x:v>Inventario inicial</x:v>
      </x:c>
      <x:c r="D4" s="14" t="str">
        <x:v>Cupo base</x:v>
      </x:c>
      <x:c r="E4" s="14" t="str">
        <x:v>Extracupo</x:v>
      </x:c>
      <x:c r="F4" s="14" t="str">
        <x:v>Capacidad total</x:v>
      </x:c>
      <x:c r="G4" s="14" t="str">
        <x:v>Disponible inicial</x:v>
      </x:c>
      <x:c r="H4" s="14" t="str">
        <x:v>Plazo pago días</x:v>
      </x:c>
      <x:c r="I4" s="14" t="str">
        <x:v>Plazo aprobado días</x:v>
      </x:c>
      <x:c r="J4" s="14" t="str">
        <x:v>Comentario</x:v>
      </x:c>
    </x:row>
    <x:row r="5">
      <x:c r="A5" t="str">
        <x:v>Moto para Todos</x:v>
      </x:c>
      <x:c r="B5" t="str">
        <x:v>Hero</x:v>
      </x:c>
      <x:c r="C5" s="24" t="n">
        <x:v>290793691</x:v>
      </x:c>
      <x:c r="D5" s="24" t="n">
        <x:v>600000000</x:v>
      </x:c>
      <x:c r="E5" s="24" t="n">
        <x:v>800000000</x:v>
      </x:c>
      <x:c r="F5" s="24" t="n">
        <x:v>1400000000</x:v>
      </x:c>
      <x:c r="G5" s="24" t="n">
        <x:v>1109206309</x:v>
      </x:c>
      <x:c r="H5" s="7" t="n">
        <x:v>45</x:v>
      </x:c>
      <x:c r="I5" s="7" t="n">
        <x:v>45</x:v>
      </x:c>
      <x:c r="J5" s="7" t="str">
        <x:v>Extracupo temporal; negociar sostenibilidad</x:v>
      </x:c>
    </x:row>
    <x:row r="6">
      <x:c r="A6" t="str">
        <x:v>Verificarte</x:v>
      </x:c>
      <x:c r="B6" t="str">
        <x:v>Honda</x:v>
      </x:c>
      <x:c r="C6" s="24" t="n">
        <x:v>626032519</x:v>
      </x:c>
      <x:c r="D6" s="24" t="n">
        <x:v>580000000</x:v>
      </x:c>
      <x:c r="E6" s="24" t="n">
        <x:v>300000000</x:v>
      </x:c>
      <x:c r="F6" s="24" t="n">
        <x:v>880000000</x:v>
      </x:c>
      <x:c r="G6" s="24" t="n">
        <x:v>253967481</x:v>
      </x:c>
      <x:c r="H6" s="7" t="n">
        <x:v>12</x:v>
      </x:c>
      <x:c r="I6" s="7" t="n">
        <x:v>30</x:v>
      </x:c>
      <x:c r="J6" s="7" t="str">
        <x:v>Pago acelerado frente al plazo aprobado</x:v>
      </x:c>
    </x:row>
    <x:row r="7">
      <x:c r="A7" t="str">
        <x:v>TuClick</x:v>
      </x:c>
      <x:c r="B7" t="str">
        <x:v>Auteco</x:v>
      </x:c>
      <x:c r="C7" s="24" t="n">
        <x:v>301570910</x:v>
      </x:c>
      <x:c r="D7" s="24" t="n">
        <x:v>300000000</x:v>
      </x:c>
      <x:c r="E7" s="24" t="n">
        <x:v>220000000</x:v>
      </x:c>
      <x:c r="F7" s="24" t="n">
        <x:v>520000000</x:v>
      </x:c>
      <x:c r="G7" s="24" t="n">
        <x:v>218429090</x:v>
      </x:c>
      <x:c r="H7" s="7" t="n">
        <x:v>25</x:v>
      </x:c>
      <x:c r="I7" s="7" t="n">
        <x:v>30</x:v>
      </x:c>
      <x:c r="J7" s="7" t="str">
        <x:v>Condición actual; negociar permanencia</x:v>
      </x:c>
    </x:row>
  </x:sheetData>
  <x:mergeCells>
    <x:mergeCell ref="A1:J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4" hidden="0" customWidth="1"/>
    <x:col min="3" max="3" width="18" hidden="0" customWidth="1"/>
    <x:col min="4" max="4" width="24" hidden="0" customWidth="1"/>
    <x:col min="5" max="5" width="52" hidden="0" customWidth="1"/>
  </x:cols>
  <x:sheetData>
    <x:row r="1" ht="28" customHeight="1">
      <x:c r="A1" s="4" t="str">
        <x:v>PENDIENTES PARA CERRAR EL MODELO</x:v>
      </x:c>
      <x:c r="B1" s="4"/>
      <x:c r="C1" s="4"/>
      <x:c r="D1" s="4"/>
      <x:c r="E1" s="4"/>
    </x:row>
    <x:row r="2">
      <x:c r="A2" s="4"/>
      <x:c r="B2" s="4"/>
      <x:c r="C2" s="4"/>
      <x:c r="D2" s="4"/>
      <x:c r="E2" s="4"/>
    </x:row>
    <x:row r="4">
      <x:c r="A4" s="14" t="str">
        <x:v>Dato / control</x:v>
      </x:c>
      <x:c r="B4" s="14" t="str">
        <x:v>Valor actual</x:v>
      </x:c>
      <x:c r="C4" s="14" t="str">
        <x:v>Estado</x:v>
      </x:c>
      <x:c r="D4" s="14" t="str">
        <x:v>Responsable</x:v>
      </x:c>
      <x:c r="E4" s="14" t="str">
        <x:v>Acción requerida</x:v>
      </x:c>
    </x:row>
    <x:row r="5">
      <x:c r="A5" t="str">
        <x:v>Registros de personal</x:v>
      </x:c>
      <x:c r="B5" s="7" t="n">
        <x:v>60</x:v>
      </x:c>
      <x:c r="C5" s="7" t="str">
        <x:v>OK</x:v>
      </x:c>
      <x:c r="D5" s="7" t="str">
        <x:v>Modelo</x:v>
      </x:c>
      <x:c r="E5" s="7" t="str">
        <x:v>Mantener 60 registros</x:v>
      </x:c>
    </x:row>
    <x:row r="6">
      <x:c r="A6" t="str">
        <x:v>Honorarios mensuales</x:v>
      </x:c>
      <x:c r="B6" s="7" t="n">
        <x:v>47250000</x:v>
      </x:c>
      <x:c r="C6" s="7" t="str">
        <x:v>OK</x:v>
      </x:c>
      <x:c r="D6" s="7" t="str">
        <x:v>Modelo</x:v>
      </x:c>
      <x:c r="E6" s="7" t="str">
        <x:v>Conciliar honorarios</x:v>
      </x:c>
    </x:row>
    <x:row r="7">
      <x:c r="A7" t="str">
        <x:v>Salarios distintos al mínimo</x:v>
      </x:c>
      <x:c r="B7" s="7" t="n">
        <x:v>22547405</x:v>
      </x:c>
      <x:c r="C7" s="7" t="str">
        <x:v>Referencia</x:v>
      </x:c>
      <x:c r="D7" s="7" t="str">
        <x:v>Modelo</x:v>
      </x:c>
      <x:c r="E7" s="7" t="str">
        <x:v>Control informado</x:v>
      </x:c>
    </x:row>
    <x:row r="8">
      <x:c r="A8" t="str">
        <x:v>Cantidad salarios mínimos</x:v>
      </x:c>
      <x:c r="B8" s="7" t="n">
        <x:v>43</x:v>
      </x:c>
      <x:c r="C8" s="7" t="str">
        <x:v>OK</x:v>
      </x:c>
      <x:c r="D8" s="7" t="str">
        <x:v>Modelo</x:v>
      </x:c>
      <x:c r="E8" s="7" t="str">
        <x:v>Conciliar SMLMV</x:v>
      </x:c>
    </x:row>
    <x:row r="9">
      <x:c r="A9" t="str">
        <x:v>Comisiones pendientes</x:v>
      </x:c>
      <x:c r="B9" s="7" t="n">
        <x:v>0</x:v>
      </x:c>
      <x:c r="C9" s="7" t="str">
        <x:v>PENDIENTE</x:v>
      </x:c>
      <x:c r="D9" s="7" t="str">
        <x:v>Líderes / Carolina</x:v>
      </x:c>
      <x:c r="E9" s="7" t="str">
        <x:v>Diligenciar variables</x:v>
      </x:c>
    </x:row>
    <x:row r="10">
      <x:c r="A10" t="str">
        <x:v>Balance proyectado</x:v>
      </x:c>
      <x:c r="B10" s="7" t="n">
        <x:v>3818029759.33179</x:v>
      </x:c>
      <x:c r="C10" s="7" t="str">
        <x:v>POR CONCILIAR</x:v>
      </x:c>
      <x:c r="D10" s="7" t="str">
        <x:v>Contabilidad</x:v>
      </x:c>
      <x:c r="E10" s="7" t="str">
        <x:v>Actualizar cierre y partidas intercompañía</x:v>
      </x:c>
    </x:row>
    <x:row r="11">
      <x:c r="A11" t="str">
        <x:v>Costo inventario fuente</x:v>
      </x:c>
      <x:c r="B11" s="7" t="n">
        <x:v>1185198871</x:v>
      </x:c>
      <x:c r="C11" s="7" t="str">
        <x:v>Fuente</x:v>
      </x:c>
      <x:c r="D11" s="7" t="str">
        <x:v>Contabilidad</x:v>
      </x:c>
      <x:c r="E11" s="7" t="str">
        <x:v>Revisar columna Costo total</x:v>
      </x:c>
    </x:row>
    <x:row r="12">
      <x:c r="A12" t="str">
        <x:v>Costo inventario recalculado</x:v>
      </x:c>
      <x:c r="B12" s="7" t="n">
        <x:v>1294777278</x:v>
      </x:c>
      <x:c r="C12" s="7" t="str">
        <x:v>Corregido</x:v>
      </x:c>
      <x:c r="D12" s="7" t="str">
        <x:v>Modelo</x:v>
      </x:c>
      <x:c r="E12" s="7" t="str">
        <x:v>Usar existencia × costo promedio</x:v>
      </x:c>
    </x:row>
    <x:row r="13">
      <x:c r="A13" t="str">
        <x:v>Resultados reales mensuales ene-ago 2026</x:v>
      </x:c>
      <x:c r="B13" s="7" t="str">
        <x:v>Sin cargar</x:v>
      </x:c>
      <x:c r="C13" s="7" t="str">
        <x:v>PENDIENTE</x:v>
      </x:c>
      <x:c r="D13" s="7" t="str">
        <x:v>Contabilidad</x:v>
      </x:c>
      <x:c r="E13" s="7" t="str">
        <x:v>Pegar valores conciliados en Carga_Reales</x:v>
      </x:c>
    </x:row>
    <x:row r="14">
      <x:c r="A14" t="str">
        <x:v>Detalle inversiones por mes</x:v>
      </x:c>
      <x:c r="B14" s="7" t="str">
        <x:v>Sin distribuir</x:v>
      </x:c>
      <x:c r="C14" s="7" t="str">
        <x:v>PENDIENTE</x:v>
      </x:c>
      <x:c r="D14" s="7" t="str">
        <x:v>Financiero</x:v>
      </x:c>
      <x:c r="E14" s="7" t="str">
        <x:v>Definir mes y desembolso</x:v>
      </x:c>
    </x:row>
    <x:row r="15">
      <x:c r="A15" t="str">
        <x:v>Comisiones comerciales y posventa</x:v>
      </x:c>
      <x:c r="B15" s="7" t="n">
        <x:v>0</x:v>
      </x:c>
      <x:c r="C15" s="7" t="str">
        <x:v>PENDIENTE</x:v>
      </x:c>
      <x:c r="D15" s="7" t="str">
        <x:v>Líderes / Carolina</x:v>
      </x:c>
      <x:c r="E15" s="7" t="str">
        <x:v>Completar variables para costo definitivo</x:v>
      </x:c>
    </x:row>
    <x:row r="16">
      <x:c r="A16" t="str">
        <x:v>Saldo vigente de cartera por crédito</x:v>
      </x:c>
      <x:c r="B16" s="7" t="str">
        <x:v>Sin cargar</x:v>
      </x:c>
      <x:c r="C16" s="7" t="str">
        <x:v>PENDIENTE</x:v>
      </x:c>
      <x:c r="D16" s="7" t="str">
        <x:v>Cartera / Financiero</x:v>
      </x:c>
      <x:c r="E16" s="7" t="str">
        <x:v>Completar Cartera_Actual al 31-ago-2026</x:v>
      </x:c>
    </x:row>
    <x:row r="17">
      <x:c r="A17" t="str">
        <x:v>Capital disponible para nuevas colocaciones</x:v>
      </x:c>
      <x:c r="B17" s="7" t="str">
        <x:v>Sin cargar</x:v>
      </x:c>
      <x:c r="C17" s="7" t="str">
        <x:v>PENDIENTE</x:v>
      </x:c>
      <x:c r="D17" s="7" t="str">
        <x:v>Financiero</x:v>
      </x:c>
      <x:c r="E17" s="7" t="str">
        <x:v>Completar Sup_Credito por financiador</x:v>
      </x:c>
    </x:row>
    <x:row r="18">
      <x:c r="A18" t="str">
        <x:v>Recaudos julio-agosto 2026</x:v>
      </x:c>
      <x:c r="B18" s="7" t="str">
        <x:v>Detalle identificado</x:v>
      </x:c>
      <x:c r="C18" s="7" t="str">
        <x:v>VALIDAR</x:v>
      </x:c>
      <x:c r="D18" s="7" t="str">
        <x:v>Cartera / Tesorería</x:v>
      </x:c>
      <x:c r="E18" s="7" t="str">
        <x:v>Conciliar contra total mensual; el archivo fuente no tiene control diligenciado</x:v>
      </x:c>
    </x:row>
  </x:sheetData>
  <x:mergeCells>
    <x:mergeCell ref="A1:E2"/>
  </x:mergeCells>
  <x:pageMargins left="0.7" right="0.7" top="0.75" bottom="0.75" header="0.3" footer="0.3"/>
</x:worksheet>
</file>